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PAVIMENTAÇÕES 2017\BADESC\2018 - BADESC resposta 1ª diligencia\Resposta final\Licitação\7 SETEMBRO APENAS\"/>
    </mc:Choice>
  </mc:AlternateContent>
  <bookViews>
    <workbookView xWindow="0" yWindow="0" windowWidth="24000" windowHeight="9735" tabRatio="805" activeTab="2"/>
  </bookViews>
  <sheets>
    <sheet name="Orçamento final pintura asfalto" sheetId="10" r:id="rId1"/>
    <sheet name="Composições" sheetId="5" r:id="rId2"/>
    <sheet name="Cronograma" sheetId="3" r:id="rId3"/>
  </sheets>
  <definedNames>
    <definedName name="_xlnm.Print_Area" localSheetId="1">Composições!$A$1:$F$123</definedName>
    <definedName name="_xlnm.Print_Area" localSheetId="2">Cronograma!$A$1:$J$27</definedName>
    <definedName name="_xlnm.Print_Area" localSheetId="0">'Orçamento final pintura asfalto'!$A$1:$I$27</definedName>
  </definedNames>
  <calcPr calcId="152511"/>
</workbook>
</file>

<file path=xl/calcChain.xml><?xml version="1.0" encoding="utf-8"?>
<calcChain xmlns="http://schemas.openxmlformats.org/spreadsheetml/2006/main">
  <c r="J25" i="3" l="1"/>
  <c r="J11" i="3"/>
  <c r="J13" i="3"/>
  <c r="J14" i="3"/>
  <c r="J15" i="3"/>
  <c r="J16" i="3"/>
  <c r="J17" i="3"/>
  <c r="J18" i="3"/>
  <c r="J20" i="3"/>
  <c r="J21" i="3"/>
  <c r="J22" i="3"/>
  <c r="J23" i="3"/>
  <c r="J24" i="3"/>
  <c r="J10" i="3"/>
  <c r="J9" i="3"/>
  <c r="I10" i="3"/>
  <c r="I11" i="3"/>
  <c r="I16" i="3"/>
  <c r="I17" i="3"/>
  <c r="I18" i="3"/>
  <c r="I20" i="3"/>
  <c r="I21" i="3"/>
  <c r="I22" i="3"/>
  <c r="I23" i="3"/>
  <c r="I24" i="3"/>
  <c r="I9" i="3"/>
  <c r="L36" i="5" l="1"/>
  <c r="F30" i="5"/>
  <c r="F29" i="5"/>
  <c r="F43" i="5"/>
  <c r="B21" i="3" l="1"/>
  <c r="B22" i="3"/>
  <c r="B23" i="3"/>
  <c r="B24" i="3"/>
  <c r="B20" i="3"/>
  <c r="B16" i="3"/>
  <c r="B17" i="3"/>
  <c r="B18" i="3"/>
  <c r="B15" i="3"/>
  <c r="B13" i="3"/>
  <c r="B11" i="3"/>
  <c r="B10" i="3"/>
  <c r="B9" i="3"/>
  <c r="B19" i="3"/>
  <c r="B14" i="3"/>
  <c r="B12" i="3"/>
  <c r="B8" i="3"/>
  <c r="B7" i="3"/>
  <c r="E19" i="5" l="1"/>
  <c r="E53" i="5" l="1"/>
  <c r="F25" i="10" l="1"/>
  <c r="G25" i="10" s="1"/>
  <c r="C24" i="3" s="1"/>
  <c r="F24" i="10"/>
  <c r="G24" i="10" s="1"/>
  <c r="C23" i="3" s="1"/>
  <c r="F23" i="10"/>
  <c r="G23" i="10" s="1"/>
  <c r="C22" i="3" s="1"/>
  <c r="F22" i="10"/>
  <c r="G22" i="10" s="1"/>
  <c r="C21" i="3" s="1"/>
  <c r="F21" i="10"/>
  <c r="G21" i="10" s="1"/>
  <c r="C20" i="3" s="1"/>
  <c r="F18" i="10"/>
  <c r="D18" i="10"/>
  <c r="G18" i="10" s="1"/>
  <c r="C18" i="3" s="1"/>
  <c r="F17" i="10"/>
  <c r="G17" i="10" s="1"/>
  <c r="C17" i="3" s="1"/>
  <c r="F16" i="10"/>
  <c r="F9" i="10"/>
  <c r="D9" i="10"/>
  <c r="F8" i="10"/>
  <c r="D8" i="10"/>
  <c r="D16" i="10" s="1"/>
  <c r="G16" i="10" s="1"/>
  <c r="C16" i="3" s="1"/>
  <c r="F7" i="10"/>
  <c r="D7" i="10"/>
  <c r="E17" i="3" l="1"/>
  <c r="G17" i="3"/>
  <c r="G9" i="10"/>
  <c r="C11" i="3" s="1"/>
  <c r="G23" i="3"/>
  <c r="E23" i="3"/>
  <c r="G16" i="3"/>
  <c r="E16" i="3"/>
  <c r="C19" i="3"/>
  <c r="G20" i="3"/>
  <c r="E20" i="3"/>
  <c r="G24" i="3"/>
  <c r="E24" i="3"/>
  <c r="E21" i="3"/>
  <c r="G21" i="3"/>
  <c r="E18" i="3"/>
  <c r="G18" i="3"/>
  <c r="E22" i="3"/>
  <c r="G22" i="3"/>
  <c r="G7" i="10"/>
  <c r="G8" i="10"/>
  <c r="C10" i="3" s="1"/>
  <c r="C9" i="3"/>
  <c r="G26" i="10"/>
  <c r="F42" i="5"/>
  <c r="F41" i="5"/>
  <c r="F38" i="5"/>
  <c r="F39" i="5"/>
  <c r="E9" i="3" l="1"/>
  <c r="C8" i="3"/>
  <c r="G9" i="3"/>
  <c r="G19" i="3"/>
  <c r="E19" i="3"/>
  <c r="G10" i="3"/>
  <c r="E10" i="3"/>
  <c r="G11" i="3"/>
  <c r="E11" i="3"/>
  <c r="G10" i="10"/>
  <c r="F40" i="5"/>
  <c r="E45" i="5" s="1"/>
  <c r="L23" i="5" l="1"/>
  <c r="E25" i="5"/>
  <c r="F25" i="5" l="1"/>
  <c r="E26" i="5" l="1"/>
  <c r="F26" i="5" s="1"/>
  <c r="E27" i="5"/>
  <c r="E28" i="5" s="1"/>
  <c r="F28" i="5" s="1"/>
  <c r="F27" i="5" l="1"/>
  <c r="E32" i="5" s="1"/>
  <c r="E7" i="5"/>
  <c r="E12" i="10" l="1"/>
  <c r="F12" i="10" s="1"/>
  <c r="G12" i="10" s="1"/>
  <c r="G13" i="10" l="1"/>
  <c r="C13" i="3"/>
  <c r="C12" i="3" l="1"/>
  <c r="G13" i="3"/>
  <c r="E13" i="3"/>
  <c r="I13" i="3" s="1"/>
  <c r="E15" i="10"/>
  <c r="F15" i="10" s="1"/>
  <c r="G15" i="10" s="1"/>
  <c r="E12" i="3" l="1"/>
  <c r="G12" i="3"/>
  <c r="G19" i="10"/>
  <c r="C15" i="3"/>
  <c r="C14" i="3" l="1"/>
  <c r="G15" i="3"/>
  <c r="E15" i="3"/>
  <c r="I15" i="3" s="1"/>
  <c r="I25" i="3" s="1"/>
  <c r="G27" i="10"/>
  <c r="E14" i="3" l="1"/>
  <c r="G14" i="3"/>
  <c r="D4" i="3" l="1"/>
  <c r="E8" i="3" l="1"/>
  <c r="C25" i="3"/>
  <c r="G8" i="3"/>
  <c r="D9" i="3" l="1"/>
  <c r="D10" i="3"/>
  <c r="G25" i="3"/>
  <c r="G26" i="3" s="1"/>
  <c r="H26" i="3" s="1"/>
  <c r="E25" i="3"/>
  <c r="D24" i="3"/>
  <c r="D23" i="3"/>
  <c r="D8" i="3"/>
  <c r="D14" i="3"/>
  <c r="D16" i="3"/>
  <c r="D13" i="3"/>
  <c r="D22" i="3"/>
  <c r="D17" i="3"/>
  <c r="D18" i="3"/>
  <c r="D20" i="3"/>
  <c r="D19" i="3"/>
  <c r="D11" i="3"/>
  <c r="D21" i="3"/>
  <c r="D15" i="3"/>
  <c r="D12" i="3"/>
  <c r="D25" i="3" l="1"/>
  <c r="E26" i="3"/>
  <c r="F26" i="3" s="1"/>
  <c r="J8" i="3"/>
  <c r="E27" i="3" l="1"/>
  <c r="G27" i="3" s="1"/>
  <c r="F27" i="3"/>
  <c r="H27" i="3" s="1"/>
</calcChain>
</file>

<file path=xl/sharedStrings.xml><?xml version="1.0" encoding="utf-8"?>
<sst xmlns="http://schemas.openxmlformats.org/spreadsheetml/2006/main" count="260" uniqueCount="127">
  <si>
    <t>ITEM</t>
  </si>
  <si>
    <t>DISCRIMINAÇÃO DOS SERVIÇOS</t>
  </si>
  <si>
    <t>QUANT</t>
  </si>
  <si>
    <t xml:space="preserve">PROJETO : </t>
  </si>
  <si>
    <t>1.1</t>
  </si>
  <si>
    <t>TOTAL DO ITEM</t>
  </si>
  <si>
    <t>m²</t>
  </si>
  <si>
    <t>m³</t>
  </si>
  <si>
    <t>UNID</t>
  </si>
  <si>
    <t>TOTAL GERAL</t>
  </si>
  <si>
    <t>PAVIMENTAÇÃO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</si>
  <si>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</si>
  <si>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</si>
  <si>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</si>
  <si>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</si>
  <si>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</si>
  <si>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</si>
  <si>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CUSTO UNIT</t>
  </si>
  <si>
    <t>74209/001</t>
  </si>
  <si>
    <t>CÓDIGO</t>
  </si>
  <si>
    <t>TABELA</t>
  </si>
  <si>
    <t>SINAPI</t>
  </si>
  <si>
    <t>*1</t>
  </si>
  <si>
    <t>*2</t>
  </si>
  <si>
    <t>CRONOGRAMA FÍSICO-FINANCEIRO</t>
  </si>
  <si>
    <t>ETAPAS</t>
  </si>
  <si>
    <t>VALOR</t>
  </si>
  <si>
    <t>%</t>
  </si>
  <si>
    <t>TOTAL</t>
  </si>
  <si>
    <t>R$ Total</t>
  </si>
  <si>
    <t>R$</t>
  </si>
  <si>
    <t>VALOR TOTAL</t>
  </si>
  <si>
    <t>VALOR ACUM. PARCIAL</t>
  </si>
  <si>
    <t>VALOR ACUM. GLOBAL</t>
  </si>
  <si>
    <t>Pintura de ligação RR - 2C</t>
  </si>
  <si>
    <t>SINALIZAÇÃO</t>
  </si>
  <si>
    <t>SICRO</t>
  </si>
  <si>
    <t>Transporte de C.B.U.Q</t>
  </si>
  <si>
    <t>DATA DA COTAÇÃO: 08/12/2014</t>
  </si>
  <si>
    <t xml:space="preserve">LOCAL: </t>
  </si>
  <si>
    <t>RUA SETE DE SETEMBRO (TRECHO ENTRE RUA JULIUS JACOBSEN E RUA MANAUS) - TIMBÓ - SC</t>
  </si>
  <si>
    <t>m³xkm</t>
  </si>
  <si>
    <t>Placa de Obra, conforme padrão da Caixa (tamanho mínimo 2,00mx1,25m)</t>
  </si>
  <si>
    <t>chp</t>
  </si>
  <si>
    <t>1.3</t>
  </si>
  <si>
    <t>COMP.</t>
  </si>
  <si>
    <t>COMPOSIÇÃO DE PREÇO UNITÁRIA</t>
  </si>
  <si>
    <r>
      <rPr>
        <b/>
        <sz val="12"/>
        <color theme="1"/>
        <rFont val="Calibri"/>
        <family val="2"/>
        <scheme val="minor"/>
      </rPr>
      <t>Unidade:</t>
    </r>
    <r>
      <rPr>
        <sz val="12"/>
        <color theme="1"/>
        <rFont val="Calibri"/>
        <family val="2"/>
        <scheme val="minor"/>
      </rPr>
      <t xml:space="preserve">       m</t>
    </r>
  </si>
  <si>
    <t>TIPO</t>
  </si>
  <si>
    <t>DESCRIÇÃO</t>
  </si>
  <si>
    <t>QUANT.</t>
  </si>
  <si>
    <t>CUSTO</t>
  </si>
  <si>
    <t>CUSTO UNIT.</t>
  </si>
  <si>
    <t>m3</t>
  </si>
  <si>
    <t>REFERÊNCIA</t>
  </si>
  <si>
    <t>Escavação mecanizada de valas em material 1a cat., inclusive carga</t>
  </si>
  <si>
    <t>Transporte de material com caminhão basculante</t>
  </si>
  <si>
    <t>txkm</t>
  </si>
  <si>
    <t>Sub-base de macadame hidráulico com brita comercial</t>
  </si>
  <si>
    <t>Carga, manobra e descarga de materiais</t>
  </si>
  <si>
    <t>t</t>
  </si>
  <si>
    <t>Regularização e compactação de reforço de subleito em solo estabilizado sem mistura com compactação a 100% proctor normal</t>
  </si>
  <si>
    <t>PREÇO UNITÁRIO ADOTADO (SEM BDI) /m²</t>
  </si>
  <si>
    <t>Pintura a frio (vagas de estacionamento)</t>
  </si>
  <si>
    <t>Pintura a quente (eixo da via e faixas e setas)</t>
  </si>
  <si>
    <t>DRENAGEM</t>
  </si>
  <si>
    <t>unid</t>
  </si>
  <si>
    <t>Alvenaria em tijolo cerâmico maciço 5x10x20cm 1/2 vez (espessura 10cm)</t>
  </si>
  <si>
    <t>Emboço ou massa única em argamassa traço 1:2:8, preparo mecânico com btetoneira 400 l, aplicada manualmente em panos de fachada com presença de vãos, espessura de 25 mm</t>
  </si>
  <si>
    <t>Área = (0,5+0,8+0,8)*0,1</t>
  </si>
  <si>
    <t>PREÇO UNITÁRIO ADOTADO (SEM BDI) /unid.</t>
  </si>
  <si>
    <t>Tachão monodirecional</t>
  </si>
  <si>
    <t>Tacha monodirecional</t>
  </si>
  <si>
    <t>Recuperação de camadas abaixo do pavimentação existente</t>
  </si>
  <si>
    <t>Recuperação de camadas abaixo do pavimento existente *2</t>
  </si>
  <si>
    <t>Alteamento das caixas de captação existente</t>
  </si>
  <si>
    <t>Alteamento das caixas de captação existente *1</t>
  </si>
  <si>
    <t>Caminhão pipa 10.000 l trucado, peso bruto total 23.000 kg, carga útil máxima 15.935 kg, distância entre eixos 4,8 m, potência 230 cv, inclusive tanque de aço para transporte de água (lavar paralelipípedo)</t>
  </si>
  <si>
    <t>1.4</t>
  </si>
  <si>
    <t>1.1.1</t>
  </si>
  <si>
    <t>1.1.2</t>
  </si>
  <si>
    <t>1.1.3</t>
  </si>
  <si>
    <t>1.2.1</t>
  </si>
  <si>
    <t>1.3.1</t>
  </si>
  <si>
    <t>1.3.3</t>
  </si>
  <si>
    <t>1.3.4</t>
  </si>
  <si>
    <t>1.3.5</t>
  </si>
  <si>
    <t>1.4.1</t>
  </si>
  <si>
    <t>1.4.2</t>
  </si>
  <si>
    <t>1.4.3</t>
  </si>
  <si>
    <t>1.4.4</t>
  </si>
  <si>
    <t>30 DIAS</t>
  </si>
  <si>
    <t xml:space="preserve">Base ou sub-base de brita graduada com brita comercial </t>
  </si>
  <si>
    <t>SINAPI - 01/2018    /  SICRO - 09/2017</t>
  </si>
  <si>
    <t>Segregador</t>
  </si>
  <si>
    <t>Fornecimento e implantação de Balizador metálico *3</t>
  </si>
  <si>
    <t>Tubo de aço galvanizado BSP classe leve - D = 100 mm</t>
  </si>
  <si>
    <t>M1618</t>
  </si>
  <si>
    <t>m</t>
  </si>
  <si>
    <t>Escavação manual</t>
  </si>
  <si>
    <t>Concreto com preparo mecânico</t>
  </si>
  <si>
    <t>hr</t>
  </si>
  <si>
    <t>74157/004</t>
  </si>
  <si>
    <t>lançamento e Aplicação de concreto</t>
  </si>
  <si>
    <t>Película refletiva</t>
  </si>
  <si>
    <t>Servente com encargos complementáres</t>
  </si>
  <si>
    <t xml:space="preserve">Pintura esmalte 2 demãos em esquadria de ferro ou perfis metálicos com fundo em zarcão </t>
  </si>
  <si>
    <t>Execução de rampa em concreto armado *4</t>
  </si>
  <si>
    <t>Execução de passeio (calçada) ou piso de concreto moldado in loco, usinado, acabamento convencional, espessura 12 cm, armado</t>
  </si>
  <si>
    <t>0,12 x 1,00 x 1,00 = 0,12m³</t>
  </si>
  <si>
    <t>0,12m³ = R$ 71,00</t>
  </si>
  <si>
    <t>Execução de rampa em concreto armado</t>
  </si>
  <si>
    <t>1m³ = R$ 591,67</t>
  </si>
  <si>
    <t>Fornecimento e implantação de segregador *5</t>
  </si>
  <si>
    <t>Tachão refletivo monodirecional - fornecimento e colocação</t>
  </si>
  <si>
    <t>M2085</t>
  </si>
  <si>
    <t>Tachão refletivo monodirecional</t>
  </si>
  <si>
    <t>COTAÇÂO</t>
  </si>
  <si>
    <t>Segregador não refeltivo branco</t>
  </si>
  <si>
    <t>DATA: MARÇO/2018</t>
  </si>
  <si>
    <t xml:space="preserve">RECAPEAMENTO ASFÁLTICO </t>
  </si>
  <si>
    <t>1.4.5</t>
  </si>
  <si>
    <t>*5</t>
  </si>
  <si>
    <t>Camada de revestimento c/ C.B.U.Q., Faixa  ''C'' , e = 5 cm "compactado"</t>
  </si>
  <si>
    <t xml:space="preserve">QUANTITATIVO E ORÇAMENTO  </t>
  </si>
  <si>
    <t>15 DIAS</t>
  </si>
  <si>
    <t>RECAPEAMENTO ASFÁLTICO RUA SETE DE SETEMBRO (TRECHO ENTRE RUA JULIUS JACOBSEN E RUA MANAUS) - TIMBÓ-SC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</si>
</sst>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  <numFmt numFmtId="167" formatCode="&quot;R$&quot;\ 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name val="Swis721 Ex BT"/>
      <family val="2"/>
    </font>
    <font>
      <sz val="9"/>
      <name val="Swis721 Ex BT"/>
      <family val="2"/>
    </font>
    <font>
      <b/>
      <i/>
      <sz val="11"/>
      <name val="Calibri"/>
      <family val="2"/>
      <scheme val="minor"/>
    </font>
    <font>
      <b/>
      <sz val="8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</cellStyleXfs>
  <cellXfs count="164">
    <xf numFmtId="0" fontId="0" fillId="0" borderId="0" xfId="0"/>
    <xf numFmtId="4" fontId="0" fillId="0" borderId="0" xfId="0" applyNumberFormat="1"/>
    <xf numFmtId="0" fontId="0" fillId="0" borderId="0" xfId="0" applyAlignment="1">
      <alignment vertical="justify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center"/>
    </xf>
    <xf numFmtId="0" fontId="10" fillId="0" borderId="0" xfId="0" applyFont="1"/>
    <xf numFmtId="0" fontId="4" fillId="2" borderId="5" xfId="0" applyFont="1" applyFill="1" applyBorder="1"/>
    <xf numFmtId="0" fontId="4" fillId="2" borderId="6" xfId="0" applyFont="1" applyFill="1" applyBorder="1" applyAlignment="1">
      <alignment vertical="justify"/>
    </xf>
    <xf numFmtId="0" fontId="4" fillId="2" borderId="6" xfId="0" applyFont="1" applyFill="1" applyBorder="1"/>
    <xf numFmtId="4" fontId="4" fillId="2" borderId="6" xfId="0" applyNumberFormat="1" applyFont="1" applyFill="1" applyBorder="1"/>
    <xf numFmtId="164" fontId="4" fillId="2" borderId="6" xfId="2" applyFont="1" applyFill="1" applyBorder="1"/>
    <xf numFmtId="0" fontId="9" fillId="0" borderId="0" xfId="0" applyFont="1" applyAlignment="1">
      <alignment horizontal="center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0" fontId="4" fillId="0" borderId="1" xfId="0" applyFont="1" applyBorder="1"/>
    <xf numFmtId="10" fontId="4" fillId="0" borderId="1" xfId="0" applyNumberFormat="1" applyFont="1" applyBorder="1"/>
    <xf numFmtId="4" fontId="4" fillId="0" borderId="1" xfId="0" applyNumberFormat="1" applyFont="1" applyBorder="1"/>
    <xf numFmtId="0" fontId="0" fillId="0" borderId="0" xfId="0" applyAlignment="1">
      <alignment wrapText="1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justify"/>
    </xf>
    <xf numFmtId="0" fontId="1" fillId="4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7" fillId="0" borderId="4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 applyAlignment="1">
      <alignment vertical="justify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4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8" fillId="0" borderId="4" xfId="0" applyFont="1" applyBorder="1"/>
    <xf numFmtId="0" fontId="8" fillId="0" borderId="1" xfId="0" applyFont="1" applyBorder="1" applyAlignment="1">
      <alignment vertic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4" xfId="0" applyFont="1" applyFill="1" applyBorder="1"/>
    <xf numFmtId="0" fontId="3" fillId="0" borderId="0" xfId="0" applyFont="1" applyAlignment="1"/>
    <xf numFmtId="0" fontId="12" fillId="0" borderId="2" xfId="0" applyFont="1" applyBorder="1" applyAlignment="1">
      <alignment horizontal="center" vertical="top"/>
    </xf>
    <xf numFmtId="0" fontId="14" fillId="0" borderId="15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6" xfId="0" applyFont="1" applyBorder="1" applyAlignment="1">
      <alignment horizontal="center"/>
    </xf>
    <xf numFmtId="0" fontId="12" fillId="0" borderId="20" xfId="0" applyFont="1" applyBorder="1"/>
    <xf numFmtId="0" fontId="0" fillId="0" borderId="21" xfId="0" applyBorder="1"/>
    <xf numFmtId="166" fontId="18" fillId="6" borderId="1" xfId="5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5" applyFont="1" applyFill="1" applyBorder="1" applyAlignment="1">
      <alignment horizontal="center" vertical="center"/>
    </xf>
    <xf numFmtId="0" fontId="18" fillId="0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18" fillId="4" borderId="1" xfId="5" applyFont="1" applyFill="1" applyBorder="1" applyAlignment="1">
      <alignment horizontal="center" vertical="center"/>
    </xf>
    <xf numFmtId="0" fontId="0" fillId="0" borderId="23" xfId="0" applyBorder="1"/>
    <xf numFmtId="4" fontId="1" fillId="2" borderId="15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8" fillId="0" borderId="16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167" fontId="4" fillId="0" borderId="1" xfId="0" applyNumberFormat="1" applyFont="1" applyBorder="1"/>
    <xf numFmtId="167" fontId="0" fillId="0" borderId="1" xfId="0" applyNumberFormat="1" applyBorder="1"/>
    <xf numFmtId="167" fontId="0" fillId="0" borderId="0" xfId="0" applyNumberFormat="1"/>
    <xf numFmtId="167" fontId="4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right"/>
    </xf>
    <xf numFmtId="167" fontId="9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0" fontId="0" fillId="4" borderId="1" xfId="0" applyNumberFormat="1" applyFill="1" applyBorder="1"/>
    <xf numFmtId="0" fontId="4" fillId="7" borderId="1" xfId="0" applyFont="1" applyFill="1" applyBorder="1"/>
    <xf numFmtId="167" fontId="4" fillId="7" borderId="1" xfId="0" applyNumberFormat="1" applyFont="1" applyFill="1" applyBorder="1" applyAlignment="1">
      <alignment horizontal="right"/>
    </xf>
    <xf numFmtId="10" fontId="4" fillId="7" borderId="1" xfId="0" applyNumberFormat="1" applyFont="1" applyFill="1" applyBorder="1"/>
    <xf numFmtId="167" fontId="4" fillId="7" borderId="1" xfId="0" applyNumberFormat="1" applyFont="1" applyFill="1" applyBorder="1"/>
    <xf numFmtId="4" fontId="4" fillId="7" borderId="1" xfId="0" applyNumberFormat="1" applyFont="1" applyFill="1" applyBorder="1"/>
    <xf numFmtId="9" fontId="4" fillId="7" borderId="1" xfId="0" applyNumberFormat="1" applyFont="1" applyFill="1" applyBorder="1"/>
    <xf numFmtId="0" fontId="4" fillId="7" borderId="0" xfId="0" applyFont="1" applyFill="1"/>
    <xf numFmtId="0" fontId="1" fillId="4" borderId="1" xfId="0" applyFont="1" applyFill="1" applyBorder="1"/>
    <xf numFmtId="167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/>
    <xf numFmtId="167" fontId="1" fillId="4" borderId="1" xfId="0" applyNumberFormat="1" applyFont="1" applyFill="1" applyBorder="1"/>
    <xf numFmtId="4" fontId="1" fillId="4" borderId="1" xfId="0" applyNumberFormat="1" applyFont="1" applyFill="1" applyBorder="1"/>
    <xf numFmtId="0" fontId="1" fillId="4" borderId="0" xfId="0" applyFont="1" applyFill="1"/>
    <xf numFmtId="10" fontId="2" fillId="0" borderId="0" xfId="0" applyNumberFormat="1" applyFont="1" applyAlignment="1">
      <alignment horizontal="center"/>
    </xf>
    <xf numFmtId="4" fontId="20" fillId="0" borderId="0" xfId="0" applyNumberFormat="1" applyFont="1"/>
    <xf numFmtId="0" fontId="12" fillId="0" borderId="24" xfId="0" applyFont="1" applyBorder="1"/>
    <xf numFmtId="4" fontId="21" fillId="4" borderId="1" xfId="0" applyNumberFormat="1" applyFont="1" applyFill="1" applyBorder="1" applyAlignment="1">
      <alignment horizontal="right" vertical="top" wrapText="1"/>
    </xf>
    <xf numFmtId="166" fontId="18" fillId="0" borderId="1" xfId="5" applyFont="1" applyFill="1" applyBorder="1" applyAlignment="1">
      <alignment horizontal="left" vertical="center" indent="2"/>
    </xf>
    <xf numFmtId="166" fontId="18" fillId="0" borderId="1" xfId="5" applyFont="1" applyFill="1" applyBorder="1" applyAlignment="1">
      <alignment horizontal="left" vertical="center" indent="4"/>
    </xf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vertic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166" fontId="1" fillId="3" borderId="1" xfId="3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/>
    <xf numFmtId="43" fontId="2" fillId="0" borderId="0" xfId="0" applyNumberFormat="1" applyFont="1" applyAlignment="1">
      <alignment horizontal="center"/>
    </xf>
    <xf numFmtId="49" fontId="18" fillId="0" borderId="1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7" fontId="1" fillId="7" borderId="1" xfId="0" applyNumberFormat="1" applyFont="1" applyFill="1" applyBorder="1"/>
    <xf numFmtId="167" fontId="0" fillId="7" borderId="0" xfId="0" applyNumberFormat="1" applyFill="1"/>
    <xf numFmtId="10" fontId="10" fillId="0" borderId="1" xfId="0" applyNumberFormat="1" applyFont="1" applyBorder="1"/>
    <xf numFmtId="10" fontId="10" fillId="7" borderId="1" xfId="0" applyNumberFormat="1" applyFont="1" applyFill="1" applyBorder="1"/>
    <xf numFmtId="0" fontId="9" fillId="0" borderId="0" xfId="0" applyFont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7" fontId="19" fillId="0" borderId="8" xfId="0" applyNumberFormat="1" applyFont="1" applyBorder="1" applyAlignment="1">
      <alignment horizontal="center"/>
    </xf>
    <xf numFmtId="167" fontId="19" fillId="0" borderId="18" xfId="0" applyNumberFormat="1" applyFont="1" applyBorder="1" applyAlignment="1">
      <alignment horizontal="center"/>
    </xf>
    <xf numFmtId="167" fontId="19" fillId="0" borderId="19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6">
    <cellStyle name="Euro" xfId="1"/>
    <cellStyle name="Moeda" xfId="2" builtinId="4"/>
    <cellStyle name="Normal" xfId="0" builtinId="0"/>
    <cellStyle name="Normal_Plan1" xfId="4"/>
    <cellStyle name="Vírgula" xfId="3" builtinId="3"/>
    <cellStyle name="Vírgula 3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19289</xdr:colOff>
      <xdr:row>54</xdr:row>
      <xdr:rowOff>85486</xdr:rowOff>
    </xdr:from>
    <xdr:to>
      <xdr:col>5</xdr:col>
      <xdr:colOff>142636</xdr:colOff>
      <xdr:row>116</xdr:row>
      <xdr:rowOff>104536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543050" y="15049500"/>
          <a:ext cx="10058400" cy="6933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view="pageBreakPreview" zoomScaleSheetLayoutView="100" workbookViewId="0">
      <selection activeCell="B3" sqref="B3"/>
    </sheetView>
  </sheetViews>
  <sheetFormatPr defaultRowHeight="12.75" x14ac:dyDescent="0.2"/>
  <cols>
    <col min="2" max="2" width="72.140625" style="2" customWidth="1"/>
    <col min="4" max="4" width="10.85546875" style="1" customWidth="1"/>
    <col min="5" max="5" width="11.85546875" style="1" bestFit="1" customWidth="1"/>
    <col min="6" max="6" width="12.7109375" style="1" bestFit="1" customWidth="1"/>
    <col min="7" max="7" width="22.7109375" style="1" bestFit="1" customWidth="1"/>
    <col min="8" max="8" width="8.140625" style="13" bestFit="1" customWidth="1"/>
    <col min="9" max="9" width="11.28515625" style="13" customWidth="1"/>
  </cols>
  <sheetData>
    <row r="1" spans="1:9" ht="15.75" x14ac:dyDescent="0.25">
      <c r="A1" s="147" t="s">
        <v>124</v>
      </c>
      <c r="B1" s="147"/>
      <c r="C1" s="147"/>
      <c r="D1" s="147"/>
      <c r="E1" s="147"/>
      <c r="F1" s="147"/>
      <c r="G1" s="147"/>
      <c r="H1" s="147"/>
      <c r="I1" s="147"/>
    </row>
    <row r="2" spans="1:9" x14ac:dyDescent="0.2">
      <c r="A2" s="6" t="s">
        <v>3</v>
      </c>
      <c r="B2" s="7" t="s">
        <v>120</v>
      </c>
      <c r="C2" s="6"/>
      <c r="D2" s="8"/>
      <c r="E2" s="8"/>
      <c r="F2" s="8"/>
      <c r="G2" s="8"/>
    </row>
    <row r="3" spans="1:9" ht="16.5" customHeight="1" x14ac:dyDescent="0.2">
      <c r="A3" s="6" t="s">
        <v>39</v>
      </c>
      <c r="B3" s="73" t="s">
        <v>40</v>
      </c>
      <c r="C3" s="6"/>
      <c r="D3" s="8" t="s">
        <v>119</v>
      </c>
      <c r="E3" s="8"/>
      <c r="F3" s="10" t="s">
        <v>16</v>
      </c>
      <c r="G3" s="9">
        <v>0.22</v>
      </c>
    </row>
    <row r="4" spans="1:9" s="137" customFormat="1" ht="13.5" thickBot="1" x14ac:dyDescent="0.25">
      <c r="A4" s="133"/>
      <c r="B4" s="134"/>
      <c r="C4" s="133"/>
      <c r="D4" s="135"/>
      <c r="E4" s="135"/>
      <c r="F4" s="135"/>
      <c r="G4" s="135"/>
      <c r="H4" s="136"/>
      <c r="I4" s="136"/>
    </row>
    <row r="5" spans="1:9" s="33" customFormat="1" ht="18" customHeight="1" x14ac:dyDescent="0.2">
      <c r="A5" s="48" t="s">
        <v>0</v>
      </c>
      <c r="B5" s="49" t="s">
        <v>1</v>
      </c>
      <c r="C5" s="49" t="s">
        <v>8</v>
      </c>
      <c r="D5" s="50" t="s">
        <v>2</v>
      </c>
      <c r="E5" s="50" t="s">
        <v>17</v>
      </c>
      <c r="F5" s="50" t="s">
        <v>11</v>
      </c>
      <c r="G5" s="50" t="s">
        <v>13</v>
      </c>
      <c r="H5" s="50" t="s">
        <v>20</v>
      </c>
      <c r="I5" s="93" t="s">
        <v>19</v>
      </c>
    </row>
    <row r="6" spans="1:9" s="11" customFormat="1" x14ac:dyDescent="0.2">
      <c r="A6" s="51" t="s">
        <v>4</v>
      </c>
      <c r="B6" s="52" t="s">
        <v>14</v>
      </c>
      <c r="C6" s="53"/>
      <c r="D6" s="54"/>
      <c r="E6" s="54"/>
      <c r="F6" s="54"/>
      <c r="G6" s="54"/>
      <c r="H6" s="55"/>
      <c r="I6" s="94"/>
    </row>
    <row r="7" spans="1:9" ht="14.25" customHeight="1" x14ac:dyDescent="0.2">
      <c r="A7" s="37" t="s">
        <v>79</v>
      </c>
      <c r="B7" s="36" t="s">
        <v>42</v>
      </c>
      <c r="C7" s="38" t="s">
        <v>6</v>
      </c>
      <c r="D7" s="39">
        <f>2*1.25</f>
        <v>2.5</v>
      </c>
      <c r="E7" s="40">
        <v>302.64</v>
      </c>
      <c r="F7" s="40">
        <f>ROUND(E7*(1+$G$3),2)</f>
        <v>369.22</v>
      </c>
      <c r="G7" s="40">
        <f>ROUND(D7*F7,2)</f>
        <v>923.05</v>
      </c>
      <c r="H7" s="41" t="s">
        <v>21</v>
      </c>
      <c r="I7" s="95" t="s">
        <v>18</v>
      </c>
    </row>
    <row r="8" spans="1:9" ht="25.5" x14ac:dyDescent="0.2">
      <c r="A8" s="37" t="s">
        <v>80</v>
      </c>
      <c r="B8" s="36" t="s">
        <v>15</v>
      </c>
      <c r="C8" s="38" t="s">
        <v>6</v>
      </c>
      <c r="D8" s="39">
        <f>121.82+108.49+1723.11+100.02+3731</f>
        <v>5784.4400000000005</v>
      </c>
      <c r="E8" s="40">
        <v>0.34</v>
      </c>
      <c r="F8" s="40">
        <f>ROUND(E8*(1+$G$3),2)</f>
        <v>0.41</v>
      </c>
      <c r="G8" s="40">
        <f t="shared" ref="G8:G9" si="0">ROUND(D8*F8,2)</f>
        <v>2371.62</v>
      </c>
      <c r="H8" s="41" t="s">
        <v>21</v>
      </c>
      <c r="I8" s="95">
        <v>78472</v>
      </c>
    </row>
    <row r="9" spans="1:9" ht="38.25" x14ac:dyDescent="0.2">
      <c r="A9" s="37" t="s">
        <v>81</v>
      </c>
      <c r="B9" s="36" t="s">
        <v>77</v>
      </c>
      <c r="C9" s="38" t="s">
        <v>43</v>
      </c>
      <c r="D9" s="39">
        <f>ROUND((((545.1*6*2)/1000))/5,2)</f>
        <v>1.31</v>
      </c>
      <c r="E9" s="40">
        <v>150.41</v>
      </c>
      <c r="F9" s="40">
        <f>ROUND(E9*(1+$G$3),2)</f>
        <v>183.5</v>
      </c>
      <c r="G9" s="40">
        <f t="shared" si="0"/>
        <v>240.39</v>
      </c>
      <c r="H9" s="41" t="s">
        <v>21</v>
      </c>
      <c r="I9" s="95">
        <v>5901</v>
      </c>
    </row>
    <row r="10" spans="1:9" s="4" customFormat="1" x14ac:dyDescent="0.2">
      <c r="A10" s="44"/>
      <c r="B10" s="45" t="s">
        <v>5</v>
      </c>
      <c r="C10" s="46"/>
      <c r="D10" s="27"/>
      <c r="E10" s="32"/>
      <c r="F10" s="32"/>
      <c r="G10" s="32">
        <f>SUM(G7:G9)</f>
        <v>3535.06</v>
      </c>
      <c r="H10" s="47"/>
      <c r="I10" s="96"/>
    </row>
    <row r="11" spans="1:9" s="12" customFormat="1" x14ac:dyDescent="0.2">
      <c r="A11" s="51" t="s">
        <v>12</v>
      </c>
      <c r="B11" s="52" t="s">
        <v>65</v>
      </c>
      <c r="C11" s="56"/>
      <c r="D11" s="57"/>
      <c r="E11" s="57"/>
      <c r="F11" s="57"/>
      <c r="G11" s="57"/>
      <c r="H11" s="58"/>
      <c r="I11" s="97"/>
    </row>
    <row r="12" spans="1:9" x14ac:dyDescent="0.2">
      <c r="A12" s="72" t="s">
        <v>82</v>
      </c>
      <c r="B12" s="35" t="s">
        <v>75</v>
      </c>
      <c r="C12" s="38" t="s">
        <v>66</v>
      </c>
      <c r="D12" s="39">
        <v>22</v>
      </c>
      <c r="E12" s="40">
        <f>Composições!E7</f>
        <v>22.104599999999998</v>
      </c>
      <c r="F12" s="43">
        <f t="shared" ref="F12" si="1">ROUND(E12*(1+$G$3),2)</f>
        <v>26.97</v>
      </c>
      <c r="G12" s="43">
        <f t="shared" ref="G12" si="2">ROUND(D12*F12,2)</f>
        <v>593.34</v>
      </c>
      <c r="H12" s="41" t="s">
        <v>45</v>
      </c>
      <c r="I12" s="95" t="s">
        <v>22</v>
      </c>
    </row>
    <row r="13" spans="1:9" s="4" customFormat="1" x14ac:dyDescent="0.2">
      <c r="A13" s="44"/>
      <c r="B13" s="45" t="s">
        <v>5</v>
      </c>
      <c r="C13" s="46"/>
      <c r="D13" s="27"/>
      <c r="E13" s="32"/>
      <c r="F13" s="42"/>
      <c r="G13" s="32">
        <f>SUM(G12:G12)</f>
        <v>593.34</v>
      </c>
      <c r="H13" s="47"/>
      <c r="I13" s="96"/>
    </row>
    <row r="14" spans="1:9" s="12" customFormat="1" x14ac:dyDescent="0.2">
      <c r="A14" s="51" t="s">
        <v>44</v>
      </c>
      <c r="B14" s="52" t="s">
        <v>10</v>
      </c>
      <c r="C14" s="56"/>
      <c r="D14" s="57"/>
      <c r="E14" s="57"/>
      <c r="F14" s="57"/>
      <c r="G14" s="57"/>
      <c r="H14" s="58"/>
      <c r="I14" s="97"/>
    </row>
    <row r="15" spans="1:9" x14ac:dyDescent="0.2">
      <c r="A15" s="72" t="s">
        <v>83</v>
      </c>
      <c r="B15" s="35" t="s">
        <v>73</v>
      </c>
      <c r="C15" s="38" t="s">
        <v>6</v>
      </c>
      <c r="D15" s="39">
        <v>125.3</v>
      </c>
      <c r="E15" s="40">
        <f>Composições!E19</f>
        <v>64.261499999999998</v>
      </c>
      <c r="F15" s="43">
        <f t="shared" ref="F15:F18" si="3">ROUND(E15*(1+$G$3),2)</f>
        <v>78.400000000000006</v>
      </c>
      <c r="G15" s="43">
        <f t="shared" ref="G15:G18" si="4">ROUND(D15*F15,2)</f>
        <v>9823.52</v>
      </c>
      <c r="H15" s="41" t="s">
        <v>45</v>
      </c>
      <c r="I15" s="95" t="s">
        <v>23</v>
      </c>
    </row>
    <row r="16" spans="1:9" x14ac:dyDescent="0.2">
      <c r="A16" s="72" t="s">
        <v>84</v>
      </c>
      <c r="B16" s="35" t="s">
        <v>34</v>
      </c>
      <c r="C16" s="38" t="s">
        <v>6</v>
      </c>
      <c r="D16" s="39">
        <f>2*D8</f>
        <v>11568.880000000001</v>
      </c>
      <c r="E16" s="40">
        <v>1.3</v>
      </c>
      <c r="F16" s="43">
        <f t="shared" si="3"/>
        <v>1.59</v>
      </c>
      <c r="G16" s="43">
        <f t="shared" si="4"/>
        <v>18394.52</v>
      </c>
      <c r="H16" s="41" t="s">
        <v>21</v>
      </c>
      <c r="I16" s="95">
        <v>72943</v>
      </c>
    </row>
    <row r="17" spans="1:10" x14ac:dyDescent="0.2">
      <c r="A17" s="72" t="s">
        <v>85</v>
      </c>
      <c r="B17" s="35" t="s">
        <v>123</v>
      </c>
      <c r="C17" s="38" t="s">
        <v>7</v>
      </c>
      <c r="D17" s="39">
        <v>578.44000000000005</v>
      </c>
      <c r="E17" s="40">
        <v>690.21</v>
      </c>
      <c r="F17" s="43">
        <f t="shared" si="3"/>
        <v>842.06</v>
      </c>
      <c r="G17" s="43">
        <f>ROUND(D17*F17,2)</f>
        <v>487081.19</v>
      </c>
      <c r="H17" s="41" t="s">
        <v>21</v>
      </c>
      <c r="I17" s="95">
        <v>95995</v>
      </c>
    </row>
    <row r="18" spans="1:10" x14ac:dyDescent="0.2">
      <c r="A18" s="72" t="s">
        <v>86</v>
      </c>
      <c r="B18" s="35" t="s">
        <v>37</v>
      </c>
      <c r="C18" s="38" t="s">
        <v>41</v>
      </c>
      <c r="D18" s="39">
        <f>ROUND((D17)*26,2)</f>
        <v>15039.44</v>
      </c>
      <c r="E18" s="40">
        <v>0.91</v>
      </c>
      <c r="F18" s="43">
        <f t="shared" si="3"/>
        <v>1.1100000000000001</v>
      </c>
      <c r="G18" s="43">
        <f t="shared" si="4"/>
        <v>16693.78</v>
      </c>
      <c r="H18" s="41" t="s">
        <v>21</v>
      </c>
      <c r="I18" s="95">
        <v>95303</v>
      </c>
    </row>
    <row r="19" spans="1:10" s="4" customFormat="1" x14ac:dyDescent="0.2">
      <c r="A19" s="44"/>
      <c r="B19" s="45" t="s">
        <v>5</v>
      </c>
      <c r="C19" s="46"/>
      <c r="D19" s="27"/>
      <c r="E19" s="32"/>
      <c r="F19" s="42"/>
      <c r="G19" s="32">
        <f>SUM(G15:G18)</f>
        <v>531993.01</v>
      </c>
      <c r="H19" s="47"/>
      <c r="I19" s="96"/>
    </row>
    <row r="20" spans="1:10" s="28" customFormat="1" x14ac:dyDescent="0.2">
      <c r="A20" s="51" t="s">
        <v>78</v>
      </c>
      <c r="B20" s="59" t="s">
        <v>35</v>
      </c>
      <c r="C20" s="60"/>
      <c r="D20" s="138"/>
      <c r="E20" s="61"/>
      <c r="F20" s="61"/>
      <c r="G20" s="62"/>
      <c r="H20" s="62"/>
      <c r="I20" s="98"/>
    </row>
    <row r="21" spans="1:10" s="28" customFormat="1" ht="12.75" customHeight="1" x14ac:dyDescent="0.2">
      <c r="A21" s="64" t="s">
        <v>87</v>
      </c>
      <c r="B21" s="34" t="s">
        <v>64</v>
      </c>
      <c r="C21" s="63" t="s">
        <v>6</v>
      </c>
      <c r="D21" s="65">
        <v>62.06</v>
      </c>
      <c r="E21" s="65">
        <v>42.12</v>
      </c>
      <c r="F21" s="40">
        <f t="shared" ref="F21:F25" si="5">ROUND(E21*(1+$G$3),2)</f>
        <v>51.39</v>
      </c>
      <c r="G21" s="40">
        <f t="shared" ref="G21:G25" si="6">ROUND(D21*F21,2)</f>
        <v>3189.26</v>
      </c>
      <c r="H21" s="41" t="s">
        <v>36</v>
      </c>
      <c r="I21" s="95">
        <v>5214003</v>
      </c>
    </row>
    <row r="22" spans="1:10" s="28" customFormat="1" ht="12.75" customHeight="1" x14ac:dyDescent="0.2">
      <c r="A22" s="64" t="s">
        <v>88</v>
      </c>
      <c r="B22" s="34" t="s">
        <v>63</v>
      </c>
      <c r="C22" s="63" t="s">
        <v>6</v>
      </c>
      <c r="D22" s="65">
        <v>243.97</v>
      </c>
      <c r="E22" s="65">
        <v>34.68</v>
      </c>
      <c r="F22" s="40">
        <f t="shared" si="5"/>
        <v>42.31</v>
      </c>
      <c r="G22" s="40">
        <f>ROUND(D22*F22,2)</f>
        <v>10322.370000000001</v>
      </c>
      <c r="H22" s="41" t="s">
        <v>36</v>
      </c>
      <c r="I22" s="95">
        <v>5213413</v>
      </c>
      <c r="J22" s="129"/>
    </row>
    <row r="23" spans="1:10" s="28" customFormat="1" ht="12.75" customHeight="1" x14ac:dyDescent="0.2">
      <c r="A23" s="64" t="s">
        <v>89</v>
      </c>
      <c r="B23" s="34" t="s">
        <v>71</v>
      </c>
      <c r="C23" s="63" t="s">
        <v>66</v>
      </c>
      <c r="D23" s="65">
        <v>112</v>
      </c>
      <c r="E23" s="65">
        <v>37.08</v>
      </c>
      <c r="F23" s="40">
        <f t="shared" si="5"/>
        <v>45.24</v>
      </c>
      <c r="G23" s="40">
        <f t="shared" si="6"/>
        <v>5066.88</v>
      </c>
      <c r="H23" s="41" t="s">
        <v>36</v>
      </c>
      <c r="I23" s="95">
        <v>5213361</v>
      </c>
    </row>
    <row r="24" spans="1:10" s="28" customFormat="1" ht="12.75" customHeight="1" x14ac:dyDescent="0.2">
      <c r="A24" s="64" t="s">
        <v>90</v>
      </c>
      <c r="B24" s="34" t="s">
        <v>72</v>
      </c>
      <c r="C24" s="63" t="s">
        <v>66</v>
      </c>
      <c r="D24" s="65">
        <v>77</v>
      </c>
      <c r="E24" s="65">
        <v>14.03</v>
      </c>
      <c r="F24" s="40">
        <f t="shared" si="5"/>
        <v>17.12</v>
      </c>
      <c r="G24" s="40">
        <f t="shared" si="6"/>
        <v>1318.24</v>
      </c>
      <c r="H24" s="41" t="s">
        <v>36</v>
      </c>
      <c r="I24" s="95">
        <v>5213359</v>
      </c>
    </row>
    <row r="25" spans="1:10" s="28" customFormat="1" ht="12.75" customHeight="1" x14ac:dyDescent="0.2">
      <c r="A25" s="64" t="s">
        <v>90</v>
      </c>
      <c r="B25" s="34" t="s">
        <v>94</v>
      </c>
      <c r="C25" s="63" t="s">
        <v>66</v>
      </c>
      <c r="D25" s="65">
        <v>38</v>
      </c>
      <c r="E25" s="65">
        <v>85.48</v>
      </c>
      <c r="F25" s="40">
        <f t="shared" si="5"/>
        <v>104.29</v>
      </c>
      <c r="G25" s="40">
        <f t="shared" si="6"/>
        <v>3963.02</v>
      </c>
      <c r="H25" s="41" t="s">
        <v>45</v>
      </c>
      <c r="I25" s="95" t="s">
        <v>122</v>
      </c>
    </row>
    <row r="26" spans="1:10" s="5" customFormat="1" x14ac:dyDescent="0.2">
      <c r="A26" s="66"/>
      <c r="B26" s="67" t="s">
        <v>5</v>
      </c>
      <c r="C26" s="68"/>
      <c r="D26" s="139"/>
      <c r="E26" s="29"/>
      <c r="F26" s="29"/>
      <c r="G26" s="29">
        <f>SUM(G21:G25)</f>
        <v>23859.770000000004</v>
      </c>
      <c r="H26" s="69"/>
      <c r="I26" s="99"/>
    </row>
    <row r="27" spans="1:10" s="3" customFormat="1" ht="13.5" thickBot="1" x14ac:dyDescent="0.25">
      <c r="A27" s="15"/>
      <c r="B27" s="16" t="s">
        <v>9</v>
      </c>
      <c r="C27" s="17"/>
      <c r="D27" s="18"/>
      <c r="E27" s="18"/>
      <c r="F27" s="18"/>
      <c r="G27" s="19">
        <f>SUM(G26+G19+G10+G13)</f>
        <v>559981.18000000005</v>
      </c>
      <c r="H27" s="70"/>
      <c r="I27" s="71"/>
    </row>
    <row r="29" spans="1:10" x14ac:dyDescent="0.2">
      <c r="I29" s="140"/>
    </row>
    <row r="74" spans="1:13" s="2" customFormat="1" x14ac:dyDescent="0.2">
      <c r="A74" s="14" t="s">
        <v>38</v>
      </c>
      <c r="C74"/>
      <c r="D74" s="1"/>
      <c r="E74" s="1"/>
      <c r="F74" s="1"/>
      <c r="G74" s="1"/>
      <c r="H74" s="13"/>
      <c r="I74" s="13"/>
      <c r="J74"/>
      <c r="K74"/>
      <c r="L74"/>
      <c r="M74"/>
    </row>
  </sheetData>
  <mergeCells count="1">
    <mergeCell ref="A1:I1"/>
  </mergeCells>
  <pageMargins left="0.70866141732283472" right="1.1023622047244095" top="2.7165354330708662" bottom="0.74803149606299213" header="0.31496062992125984" footer="0.31496062992125984"/>
  <pageSetup scale="70" fitToWidth="0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showZeros="0" view="pageBreakPreview" zoomScaleSheetLayoutView="100" workbookViewId="0">
      <selection activeCell="L66" sqref="L66"/>
    </sheetView>
  </sheetViews>
  <sheetFormatPr defaultRowHeight="12.75" x14ac:dyDescent="0.2"/>
  <cols>
    <col min="1" max="1" width="11.7109375" bestFit="1" customWidth="1"/>
    <col min="2" max="2" width="9.5703125" bestFit="1" customWidth="1"/>
    <col min="3" max="3" width="59.5703125" bestFit="1" customWidth="1"/>
    <col min="4" max="4" width="7.28515625" bestFit="1" customWidth="1"/>
    <col min="5" max="5" width="14" customWidth="1"/>
    <col min="6" max="6" width="11.85546875" bestFit="1" customWidth="1"/>
    <col min="7" max="7" width="14" hidden="1" customWidth="1"/>
    <col min="8" max="8" width="7.28515625" hidden="1" customWidth="1"/>
    <col min="9" max="9" width="14" hidden="1" customWidth="1"/>
    <col min="10" max="10" width="8.28515625" style="21" hidden="1" customWidth="1"/>
    <col min="11" max="11" width="13.140625" bestFit="1" customWidth="1"/>
    <col min="12" max="12" width="6.140625" customWidth="1"/>
  </cols>
  <sheetData>
    <row r="1" spans="1:7" ht="21.75" thickBot="1" x14ac:dyDescent="0.4">
      <c r="A1" s="148" t="s">
        <v>46</v>
      </c>
      <c r="B1" s="149"/>
      <c r="C1" s="149"/>
      <c r="D1" s="149"/>
      <c r="E1" s="149"/>
      <c r="F1" s="149"/>
      <c r="G1" s="150"/>
    </row>
    <row r="2" spans="1:7" ht="31.5" x14ac:dyDescent="0.25">
      <c r="A2" s="74"/>
      <c r="B2" s="151" t="s">
        <v>76</v>
      </c>
      <c r="C2" s="152"/>
      <c r="D2" s="152"/>
      <c r="E2" s="152"/>
      <c r="F2" s="153"/>
      <c r="G2" s="75" t="s">
        <v>47</v>
      </c>
    </row>
    <row r="3" spans="1:7" ht="15" x14ac:dyDescent="0.25">
      <c r="A3" s="76" t="s">
        <v>48</v>
      </c>
      <c r="B3" s="77" t="s">
        <v>19</v>
      </c>
      <c r="C3" s="78" t="s">
        <v>49</v>
      </c>
      <c r="D3" s="77" t="s">
        <v>8</v>
      </c>
      <c r="E3" s="77" t="s">
        <v>50</v>
      </c>
      <c r="F3" s="77" t="s">
        <v>51</v>
      </c>
      <c r="G3" s="79" t="s">
        <v>52</v>
      </c>
    </row>
    <row r="4" spans="1:7" ht="24" x14ac:dyDescent="0.2">
      <c r="A4" s="83" t="s">
        <v>21</v>
      </c>
      <c r="B4" s="83">
        <v>72132</v>
      </c>
      <c r="C4" s="84" t="s">
        <v>67</v>
      </c>
      <c r="D4" s="85" t="s">
        <v>6</v>
      </c>
      <c r="E4" s="86">
        <v>1</v>
      </c>
      <c r="F4" s="86">
        <v>63.63</v>
      </c>
      <c r="G4" s="82">
        <v>5.43</v>
      </c>
    </row>
    <row r="5" spans="1:7" ht="48" x14ac:dyDescent="0.2">
      <c r="A5" s="83" t="s">
        <v>21</v>
      </c>
      <c r="B5" s="83">
        <v>87775</v>
      </c>
      <c r="C5" s="89" t="s">
        <v>68</v>
      </c>
      <c r="D5" s="85" t="s">
        <v>6</v>
      </c>
      <c r="E5" s="86">
        <v>1</v>
      </c>
      <c r="F5" s="86">
        <v>41.63</v>
      </c>
      <c r="G5" s="82">
        <v>0.7</v>
      </c>
    </row>
    <row r="6" spans="1:7" x14ac:dyDescent="0.2">
      <c r="A6" s="88"/>
      <c r="B6" s="88"/>
      <c r="C6" s="89" t="s">
        <v>69</v>
      </c>
      <c r="D6" s="85" t="s">
        <v>6</v>
      </c>
      <c r="E6" s="86">
        <v>0.21</v>
      </c>
      <c r="F6" s="91"/>
      <c r="G6" s="91">
        <v>4.26</v>
      </c>
    </row>
    <row r="7" spans="1:7" ht="15" x14ac:dyDescent="0.25">
      <c r="A7" s="154" t="s">
        <v>70</v>
      </c>
      <c r="B7" s="155"/>
      <c r="C7" s="156"/>
      <c r="D7" s="156"/>
      <c r="E7" s="157">
        <f>(F4*E6)+(F5*E6)</f>
        <v>22.104599999999998</v>
      </c>
      <c r="F7" s="158"/>
      <c r="G7" s="159"/>
    </row>
    <row r="8" spans="1:7" ht="15.75" thickBot="1" x14ac:dyDescent="0.3">
      <c r="A8" s="80" t="s">
        <v>54</v>
      </c>
      <c r="B8" s="81"/>
      <c r="C8" s="160" t="s">
        <v>93</v>
      </c>
      <c r="D8" s="161"/>
      <c r="E8" s="161"/>
      <c r="F8" s="161"/>
      <c r="G8" s="162"/>
    </row>
    <row r="9" spans="1:7" ht="21.75" thickBot="1" x14ac:dyDescent="0.4">
      <c r="A9" s="148" t="s">
        <v>46</v>
      </c>
      <c r="B9" s="149"/>
      <c r="C9" s="149"/>
      <c r="D9" s="149"/>
      <c r="E9" s="149"/>
      <c r="F9" s="149"/>
      <c r="G9" s="150"/>
    </row>
    <row r="10" spans="1:7" ht="31.5" x14ac:dyDescent="0.25">
      <c r="A10" s="74"/>
      <c r="B10" s="151" t="s">
        <v>74</v>
      </c>
      <c r="C10" s="152"/>
      <c r="D10" s="152"/>
      <c r="E10" s="152"/>
      <c r="F10" s="153"/>
      <c r="G10" s="75" t="s">
        <v>47</v>
      </c>
    </row>
    <row r="11" spans="1:7" ht="15" x14ac:dyDescent="0.25">
      <c r="A11" s="76" t="s">
        <v>48</v>
      </c>
      <c r="B11" s="77" t="s">
        <v>19</v>
      </c>
      <c r="C11" s="78" t="s">
        <v>49</v>
      </c>
      <c r="D11" s="77" t="s">
        <v>8</v>
      </c>
      <c r="E11" s="77" t="s">
        <v>50</v>
      </c>
      <c r="F11" s="77" t="s">
        <v>51</v>
      </c>
      <c r="G11" s="79" t="s">
        <v>52</v>
      </c>
    </row>
    <row r="12" spans="1:7" ht="24" x14ac:dyDescent="0.2">
      <c r="A12" s="83" t="s">
        <v>21</v>
      </c>
      <c r="B12" s="83">
        <v>90091</v>
      </c>
      <c r="C12" s="84" t="s">
        <v>55</v>
      </c>
      <c r="D12" s="85" t="s">
        <v>53</v>
      </c>
      <c r="E12" s="86">
        <v>1</v>
      </c>
      <c r="F12" s="86">
        <v>5.41</v>
      </c>
      <c r="G12" s="82">
        <v>5.43</v>
      </c>
    </row>
    <row r="13" spans="1:7" x14ac:dyDescent="0.2">
      <c r="A13" s="83" t="s">
        <v>36</v>
      </c>
      <c r="B13" s="83">
        <v>5914389</v>
      </c>
      <c r="C13" s="84" t="s">
        <v>56</v>
      </c>
      <c r="D13" s="85" t="s">
        <v>57</v>
      </c>
      <c r="E13" s="86">
        <v>1</v>
      </c>
      <c r="F13" s="86">
        <v>0.47</v>
      </c>
      <c r="G13" s="82">
        <v>0.7</v>
      </c>
    </row>
    <row r="14" spans="1:7" ht="36" x14ac:dyDescent="0.2">
      <c r="A14" s="88" t="s">
        <v>21</v>
      </c>
      <c r="B14" s="88">
        <v>41722</v>
      </c>
      <c r="C14" s="89" t="s">
        <v>61</v>
      </c>
      <c r="D14" s="90" t="s">
        <v>53</v>
      </c>
      <c r="E14" s="86">
        <v>1</v>
      </c>
      <c r="F14" s="91">
        <v>4.29</v>
      </c>
      <c r="G14" s="91">
        <v>4.26</v>
      </c>
    </row>
    <row r="15" spans="1:7" x14ac:dyDescent="0.2">
      <c r="A15" s="83" t="s">
        <v>36</v>
      </c>
      <c r="B15" s="83">
        <v>4011282</v>
      </c>
      <c r="C15" s="87" t="s">
        <v>58</v>
      </c>
      <c r="D15" s="85" t="s">
        <v>7</v>
      </c>
      <c r="E15" s="86">
        <v>1</v>
      </c>
      <c r="F15" s="86">
        <v>79.67</v>
      </c>
      <c r="G15" s="82">
        <v>80.92</v>
      </c>
    </row>
    <row r="16" spans="1:7" x14ac:dyDescent="0.2">
      <c r="A16" s="83" t="s">
        <v>36</v>
      </c>
      <c r="B16" s="83">
        <v>4011276</v>
      </c>
      <c r="C16" s="84" t="s">
        <v>92</v>
      </c>
      <c r="D16" s="85" t="s">
        <v>7</v>
      </c>
      <c r="E16" s="86">
        <v>1</v>
      </c>
      <c r="F16" s="86">
        <v>97.1</v>
      </c>
      <c r="G16" s="82">
        <v>100.13</v>
      </c>
    </row>
    <row r="17" spans="1:12" x14ac:dyDescent="0.2">
      <c r="A17" s="83" t="s">
        <v>21</v>
      </c>
      <c r="B17" s="83">
        <v>72844</v>
      </c>
      <c r="C17" s="84" t="s">
        <v>59</v>
      </c>
      <c r="D17" s="85" t="s">
        <v>60</v>
      </c>
      <c r="E17" s="86">
        <v>1</v>
      </c>
      <c r="F17" s="86">
        <v>0.7</v>
      </c>
      <c r="G17" s="82">
        <v>0.7</v>
      </c>
    </row>
    <row r="18" spans="1:12" x14ac:dyDescent="0.2">
      <c r="A18" s="83" t="s">
        <v>36</v>
      </c>
      <c r="B18" s="83">
        <v>5914389</v>
      </c>
      <c r="C18" s="84" t="s">
        <v>56</v>
      </c>
      <c r="D18" s="85" t="s">
        <v>57</v>
      </c>
      <c r="E18" s="86">
        <v>1</v>
      </c>
      <c r="F18" s="86">
        <v>0.47</v>
      </c>
      <c r="G18" s="82">
        <v>0.45</v>
      </c>
    </row>
    <row r="19" spans="1:12" ht="15" x14ac:dyDescent="0.25">
      <c r="A19" s="154" t="s">
        <v>62</v>
      </c>
      <c r="B19" s="155"/>
      <c r="C19" s="156"/>
      <c r="D19" s="156"/>
      <c r="E19" s="157">
        <f>((F12*0.45)+(F14*0.15)+(F15*0.15)+(F16*0.15))+((0.45*1.8*0.9)*26)+(0.7*1.8*0.9)+((1.8*0.45*0.9)*20)</f>
        <v>64.261499999999998</v>
      </c>
      <c r="F19" s="158"/>
      <c r="G19" s="159"/>
    </row>
    <row r="20" spans="1:12" ht="15.75" thickBot="1" x14ac:dyDescent="0.3">
      <c r="A20" s="128" t="s">
        <v>54</v>
      </c>
      <c r="B20" s="92"/>
      <c r="C20" s="160" t="s">
        <v>93</v>
      </c>
      <c r="D20" s="161"/>
      <c r="E20" s="161"/>
      <c r="F20" s="161"/>
      <c r="G20" s="162"/>
    </row>
    <row r="21" spans="1:12" ht="21" hidden="1" customHeight="1" thickBot="1" x14ac:dyDescent="0.4">
      <c r="A21" s="148" t="s">
        <v>46</v>
      </c>
      <c r="B21" s="149"/>
      <c r="C21" s="149"/>
      <c r="D21" s="149"/>
      <c r="E21" s="149"/>
      <c r="F21" s="149"/>
      <c r="G21" s="150"/>
    </row>
    <row r="22" spans="1:12" ht="31.5" hidden="1" x14ac:dyDescent="0.25">
      <c r="A22" s="74"/>
      <c r="B22" s="151" t="s">
        <v>95</v>
      </c>
      <c r="C22" s="152"/>
      <c r="D22" s="152"/>
      <c r="E22" s="152"/>
      <c r="F22" s="153"/>
      <c r="G22" s="75" t="s">
        <v>47</v>
      </c>
    </row>
    <row r="23" spans="1:12" ht="15" hidden="1" x14ac:dyDescent="0.25">
      <c r="A23" s="76" t="s">
        <v>48</v>
      </c>
      <c r="B23" s="77" t="s">
        <v>19</v>
      </c>
      <c r="C23" s="78" t="s">
        <v>49</v>
      </c>
      <c r="D23" s="77" t="s">
        <v>8</v>
      </c>
      <c r="E23" s="77" t="s">
        <v>50</v>
      </c>
      <c r="F23" s="77" t="s">
        <v>51</v>
      </c>
      <c r="G23" s="79" t="s">
        <v>52</v>
      </c>
      <c r="L23" s="132">
        <f>(2*3.14*0.05)*0.1</f>
        <v>3.1400000000000004E-2</v>
      </c>
    </row>
    <row r="24" spans="1:12" hidden="1" x14ac:dyDescent="0.2">
      <c r="A24" s="83" t="s">
        <v>36</v>
      </c>
      <c r="B24" s="83" t="s">
        <v>97</v>
      </c>
      <c r="C24" s="84" t="s">
        <v>96</v>
      </c>
      <c r="D24" s="85" t="s">
        <v>98</v>
      </c>
      <c r="E24" s="86">
        <v>1</v>
      </c>
      <c r="F24" s="86">
        <v>66.853800000000007</v>
      </c>
      <c r="G24" s="82">
        <v>5.43</v>
      </c>
    </row>
    <row r="25" spans="1:12" ht="24" hidden="1" x14ac:dyDescent="0.2">
      <c r="A25" s="83" t="s">
        <v>36</v>
      </c>
      <c r="B25" s="83" t="s">
        <v>97</v>
      </c>
      <c r="C25" s="84" t="s">
        <v>106</v>
      </c>
      <c r="D25" s="85" t="s">
        <v>6</v>
      </c>
      <c r="E25" s="86">
        <f>(2*3.14*0.05)*0.7</f>
        <v>0.21980000000000002</v>
      </c>
      <c r="F25" s="86">
        <f>E25*K25</f>
        <v>4.6267900000000006</v>
      </c>
      <c r="G25" s="82">
        <v>5.43</v>
      </c>
      <c r="K25">
        <v>21.05</v>
      </c>
    </row>
    <row r="26" spans="1:12" hidden="1" x14ac:dyDescent="0.2">
      <c r="A26" s="83" t="s">
        <v>36</v>
      </c>
      <c r="B26" s="83" t="s">
        <v>97</v>
      </c>
      <c r="C26" s="84" t="s">
        <v>104</v>
      </c>
      <c r="D26" s="85" t="s">
        <v>6</v>
      </c>
      <c r="E26" s="86">
        <f>2*L23</f>
        <v>6.2800000000000009E-2</v>
      </c>
      <c r="F26" s="86">
        <f>E26*K26</f>
        <v>1.3432920000000002</v>
      </c>
      <c r="G26" s="82">
        <v>5.43</v>
      </c>
      <c r="K26">
        <v>21.39</v>
      </c>
    </row>
    <row r="27" spans="1:12" hidden="1" x14ac:dyDescent="0.2">
      <c r="A27" s="83" t="s">
        <v>21</v>
      </c>
      <c r="B27" s="83">
        <v>96522</v>
      </c>
      <c r="C27" s="84" t="s">
        <v>99</v>
      </c>
      <c r="D27" s="85" t="s">
        <v>7</v>
      </c>
      <c r="E27" s="130">
        <f>(3.14*(0.15*0.15))*0.4</f>
        <v>2.8260000000000004E-2</v>
      </c>
      <c r="F27" s="86">
        <f>K27*E27</f>
        <v>3.3499404000000008</v>
      </c>
      <c r="G27" s="82">
        <v>5.43</v>
      </c>
      <c r="K27">
        <v>118.54</v>
      </c>
    </row>
    <row r="28" spans="1:12" hidden="1" x14ac:dyDescent="0.2">
      <c r="A28" s="83" t="s">
        <v>21</v>
      </c>
      <c r="B28" s="83">
        <v>94964</v>
      </c>
      <c r="C28" s="89" t="s">
        <v>100</v>
      </c>
      <c r="D28" s="85" t="s">
        <v>7</v>
      </c>
      <c r="E28" s="131">
        <f>E27-((3.14*(0.05*0.05)))+(3.14*(0.05*0.05))</f>
        <v>2.8260000000000007E-2</v>
      </c>
      <c r="F28" s="86">
        <f>K28*E28</f>
        <v>8.6260824000000031</v>
      </c>
      <c r="G28" s="82">
        <v>0.7</v>
      </c>
      <c r="K28">
        <v>305.24</v>
      </c>
    </row>
    <row r="29" spans="1:12" hidden="1" x14ac:dyDescent="0.2">
      <c r="A29" s="83" t="s">
        <v>21</v>
      </c>
      <c r="B29" s="83" t="s">
        <v>102</v>
      </c>
      <c r="C29" s="89" t="s">
        <v>103</v>
      </c>
      <c r="D29" s="85" t="s">
        <v>7</v>
      </c>
      <c r="E29" s="131">
        <v>0.02</v>
      </c>
      <c r="F29" s="86">
        <f>K29*E29</f>
        <v>2.1838000000000002</v>
      </c>
      <c r="G29" s="82">
        <v>0.7</v>
      </c>
      <c r="K29">
        <v>109.19</v>
      </c>
    </row>
    <row r="30" spans="1:12" hidden="1" x14ac:dyDescent="0.2">
      <c r="A30" s="83" t="s">
        <v>21</v>
      </c>
      <c r="B30" s="83">
        <v>88316</v>
      </c>
      <c r="C30" s="84" t="s">
        <v>105</v>
      </c>
      <c r="D30" s="85" t="s">
        <v>101</v>
      </c>
      <c r="E30" s="86">
        <v>2</v>
      </c>
      <c r="F30" s="86">
        <f>K30*E30</f>
        <v>32.42</v>
      </c>
      <c r="G30" s="82">
        <v>5.43</v>
      </c>
      <c r="K30">
        <v>16.21</v>
      </c>
    </row>
    <row r="31" spans="1:12" hidden="1" x14ac:dyDescent="0.2">
      <c r="A31" s="88"/>
      <c r="B31" s="88"/>
      <c r="C31" s="89"/>
      <c r="D31" s="85"/>
      <c r="E31" s="86"/>
      <c r="F31" s="91"/>
      <c r="G31" s="91">
        <v>4.26</v>
      </c>
    </row>
    <row r="32" spans="1:12" ht="15" hidden="1" x14ac:dyDescent="0.25">
      <c r="A32" s="154" t="s">
        <v>70</v>
      </c>
      <c r="B32" s="155"/>
      <c r="C32" s="156"/>
      <c r="D32" s="156"/>
      <c r="E32" s="157">
        <f>SUM(F24:F31)</f>
        <v>119.40370480000001</v>
      </c>
      <c r="F32" s="158"/>
      <c r="G32" s="159"/>
    </row>
    <row r="33" spans="1:12" ht="15.75" hidden="1" thickBot="1" x14ac:dyDescent="0.3">
      <c r="A33" s="80" t="s">
        <v>54</v>
      </c>
      <c r="B33" s="81"/>
      <c r="C33" s="160" t="s">
        <v>93</v>
      </c>
      <c r="D33" s="161"/>
      <c r="E33" s="161"/>
      <c r="F33" s="161"/>
      <c r="G33" s="162"/>
    </row>
    <row r="34" spans="1:12" ht="21.75" hidden="1" thickBot="1" x14ac:dyDescent="0.4">
      <c r="A34" s="148" t="s">
        <v>46</v>
      </c>
      <c r="B34" s="149"/>
      <c r="C34" s="149"/>
      <c r="D34" s="149"/>
      <c r="E34" s="149"/>
      <c r="F34" s="149"/>
      <c r="G34" s="150"/>
    </row>
    <row r="35" spans="1:12" ht="31.5" hidden="1" x14ac:dyDescent="0.25">
      <c r="A35" s="74"/>
      <c r="B35" s="151" t="s">
        <v>107</v>
      </c>
      <c r="C35" s="152"/>
      <c r="D35" s="152"/>
      <c r="E35" s="152"/>
      <c r="F35" s="153"/>
      <c r="G35" s="75" t="s">
        <v>47</v>
      </c>
    </row>
    <row r="36" spans="1:12" ht="15" hidden="1" x14ac:dyDescent="0.25">
      <c r="A36" s="76" t="s">
        <v>48</v>
      </c>
      <c r="B36" s="77" t="s">
        <v>19</v>
      </c>
      <c r="C36" s="78" t="s">
        <v>49</v>
      </c>
      <c r="D36" s="77" t="s">
        <v>8</v>
      </c>
      <c r="E36" s="77" t="s">
        <v>50</v>
      </c>
      <c r="F36" s="77" t="s">
        <v>51</v>
      </c>
      <c r="G36" s="79" t="s">
        <v>52</v>
      </c>
      <c r="L36" s="132">
        <f>(2*3.14*0.05)*0.1</f>
        <v>3.1400000000000004E-2</v>
      </c>
    </row>
    <row r="37" spans="1:12" ht="36" hidden="1" x14ac:dyDescent="0.2">
      <c r="A37" s="83" t="s">
        <v>21</v>
      </c>
      <c r="B37" s="83">
        <v>94999</v>
      </c>
      <c r="C37" s="84" t="s">
        <v>108</v>
      </c>
      <c r="D37" s="85" t="s">
        <v>6</v>
      </c>
      <c r="E37" s="86">
        <v>1</v>
      </c>
      <c r="F37" s="86">
        <v>71</v>
      </c>
      <c r="G37" s="82">
        <v>5.43</v>
      </c>
      <c r="K37">
        <v>0.12</v>
      </c>
    </row>
    <row r="38" spans="1:12" hidden="1" x14ac:dyDescent="0.2">
      <c r="A38" s="83"/>
      <c r="B38" s="83"/>
      <c r="C38" s="84"/>
      <c r="D38" s="85"/>
      <c r="E38" s="86"/>
      <c r="F38" s="86">
        <f>E38*K38</f>
        <v>0</v>
      </c>
      <c r="G38" s="82">
        <v>5.43</v>
      </c>
      <c r="K38">
        <v>21.05</v>
      </c>
    </row>
    <row r="39" spans="1:12" hidden="1" x14ac:dyDescent="0.2">
      <c r="A39" s="83"/>
      <c r="B39" s="83"/>
      <c r="C39" s="84" t="s">
        <v>109</v>
      </c>
      <c r="D39" s="85"/>
      <c r="E39" s="86"/>
      <c r="F39" s="86">
        <f>E39*K39</f>
        <v>0</v>
      </c>
      <c r="G39" s="82">
        <v>5.43</v>
      </c>
      <c r="K39">
        <v>21.39</v>
      </c>
    </row>
    <row r="40" spans="1:12" hidden="1" x14ac:dyDescent="0.2">
      <c r="A40" s="83"/>
      <c r="B40" s="83"/>
      <c r="C40" s="84" t="s">
        <v>110</v>
      </c>
      <c r="D40" s="85"/>
      <c r="E40" s="130"/>
      <c r="F40" s="86">
        <f>K40*E40</f>
        <v>0</v>
      </c>
      <c r="G40" s="82">
        <v>5.43</v>
      </c>
      <c r="K40">
        <v>118.54</v>
      </c>
    </row>
    <row r="41" spans="1:12" hidden="1" x14ac:dyDescent="0.2">
      <c r="A41" s="83"/>
      <c r="B41" s="83"/>
      <c r="C41" s="89" t="s">
        <v>112</v>
      </c>
      <c r="D41" s="85"/>
      <c r="E41" s="131"/>
      <c r="F41" s="86">
        <f>K41*E41</f>
        <v>0</v>
      </c>
      <c r="G41" s="82">
        <v>0.7</v>
      </c>
      <c r="K41">
        <v>305.24</v>
      </c>
    </row>
    <row r="42" spans="1:12" hidden="1" x14ac:dyDescent="0.2">
      <c r="A42" s="83"/>
      <c r="B42" s="83"/>
      <c r="C42" s="89"/>
      <c r="D42" s="85"/>
      <c r="E42" s="131"/>
      <c r="F42" s="86">
        <f>K42*E42</f>
        <v>0</v>
      </c>
      <c r="G42" s="82">
        <v>0.7</v>
      </c>
      <c r="K42">
        <v>109.19</v>
      </c>
    </row>
    <row r="43" spans="1:12" hidden="1" x14ac:dyDescent="0.2">
      <c r="A43" s="83"/>
      <c r="B43" s="83"/>
      <c r="C43" s="84" t="s">
        <v>111</v>
      </c>
      <c r="D43" s="85" t="s">
        <v>7</v>
      </c>
      <c r="E43" s="86">
        <v>1</v>
      </c>
      <c r="F43" s="86">
        <f>F37/0.12</f>
        <v>591.66666666666674</v>
      </c>
      <c r="G43" s="82">
        <v>5.43</v>
      </c>
      <c r="K43">
        <v>16.21</v>
      </c>
    </row>
    <row r="44" spans="1:12" hidden="1" x14ac:dyDescent="0.2">
      <c r="A44" s="88"/>
      <c r="B44" s="88"/>
      <c r="C44" s="89"/>
      <c r="D44" s="85"/>
      <c r="E44" s="86"/>
      <c r="F44" s="91"/>
      <c r="G44" s="91">
        <v>4.26</v>
      </c>
    </row>
    <row r="45" spans="1:12" ht="15" hidden="1" x14ac:dyDescent="0.25">
      <c r="A45" s="154" t="s">
        <v>70</v>
      </c>
      <c r="B45" s="155"/>
      <c r="C45" s="156"/>
      <c r="D45" s="156"/>
      <c r="E45" s="157">
        <f>SUM(F38:F44)</f>
        <v>591.66666666666674</v>
      </c>
      <c r="F45" s="158"/>
      <c r="G45" s="159"/>
    </row>
    <row r="46" spans="1:12" ht="15.75" hidden="1" thickBot="1" x14ac:dyDescent="0.3">
      <c r="A46" s="80" t="s">
        <v>54</v>
      </c>
      <c r="B46" s="81"/>
      <c r="C46" s="160" t="s">
        <v>93</v>
      </c>
      <c r="D46" s="161"/>
      <c r="E46" s="161"/>
      <c r="F46" s="161"/>
      <c r="G46" s="162"/>
    </row>
    <row r="47" spans="1:12" ht="21" customHeight="1" thickBot="1" x14ac:dyDescent="0.4">
      <c r="A47" s="148" t="s">
        <v>46</v>
      </c>
      <c r="B47" s="149"/>
      <c r="C47" s="149"/>
      <c r="D47" s="149"/>
      <c r="E47" s="149"/>
      <c r="F47" s="149"/>
      <c r="G47" s="150"/>
    </row>
    <row r="48" spans="1:12" ht="31.5" x14ac:dyDescent="0.25">
      <c r="A48" s="74"/>
      <c r="B48" s="151" t="s">
        <v>113</v>
      </c>
      <c r="C48" s="152"/>
      <c r="D48" s="152"/>
      <c r="E48" s="152"/>
      <c r="F48" s="153"/>
      <c r="G48" s="75" t="s">
        <v>47</v>
      </c>
    </row>
    <row r="49" spans="1:12" ht="15" x14ac:dyDescent="0.25">
      <c r="A49" s="76" t="s">
        <v>48</v>
      </c>
      <c r="B49" s="77" t="s">
        <v>19</v>
      </c>
      <c r="C49" s="78" t="s">
        <v>49</v>
      </c>
      <c r="D49" s="77" t="s">
        <v>8</v>
      </c>
      <c r="E49" s="77" t="s">
        <v>50</v>
      </c>
      <c r="F49" s="77" t="s">
        <v>51</v>
      </c>
      <c r="G49" s="79" t="s">
        <v>52</v>
      </c>
      <c r="L49" s="132"/>
    </row>
    <row r="50" spans="1:12" x14ac:dyDescent="0.2">
      <c r="A50" s="83" t="s">
        <v>36</v>
      </c>
      <c r="B50" s="83">
        <v>5213361</v>
      </c>
      <c r="C50" s="84" t="s">
        <v>114</v>
      </c>
      <c r="D50" s="85" t="s">
        <v>8</v>
      </c>
      <c r="E50" s="86">
        <v>1</v>
      </c>
      <c r="F50" s="86">
        <v>37.08</v>
      </c>
      <c r="G50" s="82">
        <v>5.43</v>
      </c>
    </row>
    <row r="51" spans="1:12" x14ac:dyDescent="0.2">
      <c r="A51" s="83" t="s">
        <v>36</v>
      </c>
      <c r="B51" s="83" t="s">
        <v>115</v>
      </c>
      <c r="C51" s="84" t="s">
        <v>116</v>
      </c>
      <c r="D51" s="85" t="s">
        <v>8</v>
      </c>
      <c r="E51" s="86">
        <v>1</v>
      </c>
      <c r="F51" s="141">
        <v>-27.6</v>
      </c>
      <c r="G51" s="82">
        <v>5.43</v>
      </c>
    </row>
    <row r="52" spans="1:12" x14ac:dyDescent="0.2">
      <c r="A52" s="83" t="s">
        <v>117</v>
      </c>
      <c r="B52" s="83"/>
      <c r="C52" s="84" t="s">
        <v>118</v>
      </c>
      <c r="D52" s="85" t="s">
        <v>8</v>
      </c>
      <c r="E52" s="86">
        <v>1</v>
      </c>
      <c r="F52" s="86">
        <v>76</v>
      </c>
      <c r="G52" s="82">
        <v>5.43</v>
      </c>
    </row>
    <row r="53" spans="1:12" ht="15" x14ac:dyDescent="0.25">
      <c r="A53" s="154" t="s">
        <v>70</v>
      </c>
      <c r="B53" s="155"/>
      <c r="C53" s="156"/>
      <c r="D53" s="156"/>
      <c r="E53" s="157">
        <f>SUM(F50:F52)</f>
        <v>85.47999999999999</v>
      </c>
      <c r="F53" s="158"/>
      <c r="G53" s="159"/>
    </row>
    <row r="54" spans="1:12" ht="15.75" thickBot="1" x14ac:dyDescent="0.3">
      <c r="A54" s="80" t="s">
        <v>54</v>
      </c>
      <c r="B54" s="81"/>
      <c r="C54" s="160" t="s">
        <v>93</v>
      </c>
      <c r="D54" s="161"/>
      <c r="E54" s="161"/>
      <c r="F54" s="161"/>
      <c r="G54" s="162"/>
    </row>
  </sheetData>
  <mergeCells count="25">
    <mergeCell ref="A47:G47"/>
    <mergeCell ref="B48:F48"/>
    <mergeCell ref="A53:D53"/>
    <mergeCell ref="E53:G53"/>
    <mergeCell ref="C54:G54"/>
    <mergeCell ref="A21:G21"/>
    <mergeCell ref="B22:F22"/>
    <mergeCell ref="A32:D32"/>
    <mergeCell ref="E32:G32"/>
    <mergeCell ref="C33:G33"/>
    <mergeCell ref="A9:G9"/>
    <mergeCell ref="B10:F10"/>
    <mergeCell ref="A19:D19"/>
    <mergeCell ref="E19:G19"/>
    <mergeCell ref="C20:G20"/>
    <mergeCell ref="A1:G1"/>
    <mergeCell ref="B2:F2"/>
    <mergeCell ref="A7:D7"/>
    <mergeCell ref="E7:G7"/>
    <mergeCell ref="C8:G8"/>
    <mergeCell ref="A34:G34"/>
    <mergeCell ref="B35:F35"/>
    <mergeCell ref="A45:D45"/>
    <mergeCell ref="E45:G45"/>
    <mergeCell ref="C46:G46"/>
  </mergeCells>
  <pageMargins left="0.98425196850393704" right="0.51181102362204722" top="2.3622047244094491" bottom="0.78740157480314965" header="0.31496062992125984" footer="0.31496062992125984"/>
  <pageSetup paperSize="9" scale="60" orientation="portrait" r:id="rId1"/>
  <rowBreaks count="1" manualBreakCount="1">
    <brk id="5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showZeros="0" tabSelected="1" view="pageBreakPreview" zoomScaleNormal="85" zoomScaleSheetLayoutView="100" workbookViewId="0">
      <selection activeCell="N10" sqref="N10"/>
    </sheetView>
  </sheetViews>
  <sheetFormatPr defaultRowHeight="12.75" x14ac:dyDescent="0.2"/>
  <cols>
    <col min="1" max="1" width="8.5703125" customWidth="1"/>
    <col min="2" max="2" width="72.42578125" customWidth="1"/>
    <col min="3" max="3" width="14.7109375" style="111" bestFit="1" customWidth="1"/>
    <col min="4" max="4" width="8" bestFit="1" customWidth="1"/>
    <col min="5" max="5" width="13.85546875" customWidth="1"/>
    <col min="6" max="6" width="10.28515625" bestFit="1" customWidth="1"/>
    <col min="7" max="7" width="14" customWidth="1"/>
    <col min="8" max="8" width="9.28515625" style="21" customWidth="1"/>
    <col min="9" max="9" width="14.7109375" style="104" bestFit="1" customWidth="1"/>
    <col min="10" max="10" width="11.28515625" bestFit="1" customWidth="1"/>
  </cols>
  <sheetData>
    <row r="1" spans="1:11" ht="15.75" x14ac:dyDescent="0.25">
      <c r="A1" s="147" t="s">
        <v>24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1" ht="15.75" x14ac:dyDescent="0.25">
      <c r="A2" s="20"/>
      <c r="B2" s="20"/>
      <c r="C2" s="108"/>
      <c r="D2" s="20"/>
      <c r="E2" s="20"/>
      <c r="F2" s="20"/>
      <c r="G2" s="20"/>
      <c r="H2" s="126"/>
    </row>
    <row r="3" spans="1:11" ht="12.75" customHeight="1" x14ac:dyDescent="0.2">
      <c r="A3" s="6" t="s">
        <v>3</v>
      </c>
      <c r="B3" s="163" t="s">
        <v>126</v>
      </c>
      <c r="C3" s="163"/>
      <c r="D3" s="163"/>
      <c r="E3" s="163"/>
      <c r="F3" s="8"/>
      <c r="G3" s="8"/>
      <c r="H3" s="126"/>
    </row>
    <row r="4" spans="1:11" x14ac:dyDescent="0.2">
      <c r="A4" s="6"/>
      <c r="B4" s="73"/>
      <c r="C4" s="109"/>
      <c r="D4" s="127" t="e">
        <f>#REF!</f>
        <v>#REF!</v>
      </c>
      <c r="E4" s="127"/>
      <c r="F4" s="10"/>
      <c r="G4" s="9"/>
      <c r="H4" s="126"/>
    </row>
    <row r="5" spans="1:11" s="3" customFormat="1" x14ac:dyDescent="0.2">
      <c r="A5" s="25" t="s">
        <v>0</v>
      </c>
      <c r="B5" s="25" t="s">
        <v>25</v>
      </c>
      <c r="C5" s="105" t="s">
        <v>26</v>
      </c>
      <c r="D5" s="25" t="s">
        <v>27</v>
      </c>
      <c r="E5" s="30" t="s">
        <v>125</v>
      </c>
      <c r="F5" s="30"/>
      <c r="G5" s="30" t="s">
        <v>91</v>
      </c>
      <c r="H5" s="31"/>
      <c r="I5" s="105" t="s">
        <v>28</v>
      </c>
      <c r="J5" s="25"/>
    </row>
    <row r="6" spans="1:11" x14ac:dyDescent="0.2">
      <c r="A6" s="22"/>
      <c r="B6" s="22"/>
      <c r="C6" s="106" t="s">
        <v>28</v>
      </c>
      <c r="D6" s="22"/>
      <c r="E6" s="22" t="s">
        <v>29</v>
      </c>
      <c r="F6" s="22" t="s">
        <v>27</v>
      </c>
      <c r="G6" s="22" t="s">
        <v>29</v>
      </c>
      <c r="H6" s="23" t="s">
        <v>27</v>
      </c>
      <c r="I6" s="103" t="s">
        <v>30</v>
      </c>
      <c r="J6" s="22" t="s">
        <v>27</v>
      </c>
    </row>
    <row r="7" spans="1:11" s="119" customFormat="1" x14ac:dyDescent="0.2">
      <c r="A7" s="113"/>
      <c r="B7" s="113" t="str">
        <f>'Orçamento final pintura asfalto'!B3</f>
        <v>RUA SETE DE SETEMBRO (TRECHO ENTRE RUA JULIUS JACOBSEN E RUA MANAUS) - TIMBÓ - SC</v>
      </c>
      <c r="C7" s="114"/>
      <c r="D7" s="115"/>
      <c r="E7" s="116"/>
      <c r="F7" s="115"/>
      <c r="G7" s="117"/>
      <c r="H7" s="115"/>
      <c r="I7" s="116"/>
      <c r="J7" s="118"/>
    </row>
    <row r="8" spans="1:11" s="119" customFormat="1" x14ac:dyDescent="0.2">
      <c r="A8" s="113" t="s">
        <v>4</v>
      </c>
      <c r="B8" s="113" t="str">
        <f>'Orçamento final pintura asfalto'!B6</f>
        <v>SERVIÇOS INICIAIS</v>
      </c>
      <c r="C8" s="114">
        <f>SUM(C9:C11)</f>
        <v>3535.06</v>
      </c>
      <c r="D8" s="115">
        <f t="shared" ref="D8:D24" si="0">C8/$C$25</f>
        <v>6.3128192986771445E-3</v>
      </c>
      <c r="E8" s="116">
        <f>F8*C8</f>
        <v>0</v>
      </c>
      <c r="F8" s="115"/>
      <c r="G8" s="117">
        <f>H8*C8</f>
        <v>0</v>
      </c>
      <c r="H8" s="115"/>
      <c r="I8" s="116"/>
      <c r="J8" s="118">
        <f>I8/C8</f>
        <v>0</v>
      </c>
    </row>
    <row r="9" spans="1:11" x14ac:dyDescent="0.2">
      <c r="A9" s="100" t="s">
        <v>79</v>
      </c>
      <c r="B9" s="22" t="str">
        <f>'Orçamento final pintura asfalto'!B7</f>
        <v>Placa de Obra, conforme padrão da Caixa (tamanho mínimo 2,00mx1,25m)</v>
      </c>
      <c r="C9" s="107">
        <f>'Orçamento final pintura asfalto'!G7</f>
        <v>923.05</v>
      </c>
      <c r="D9" s="112">
        <f t="shared" si="0"/>
        <v>1.6483589680638907E-3</v>
      </c>
      <c r="E9" s="123">
        <f>ROUND((F9*C9),2)</f>
        <v>923.05</v>
      </c>
      <c r="F9" s="23">
        <v>1</v>
      </c>
      <c r="G9" s="123">
        <f t="shared" ref="G9:G25" si="1">ROUND((H9*C9),2)</f>
        <v>0</v>
      </c>
      <c r="H9" s="23"/>
      <c r="I9" s="103">
        <f>ROUND((E9+G9),2)</f>
        <v>923.05</v>
      </c>
      <c r="J9" s="145">
        <f>ROUND((F9+H9),2)</f>
        <v>1</v>
      </c>
      <c r="K9" s="104"/>
    </row>
    <row r="10" spans="1:11" ht="25.5" x14ac:dyDescent="0.2">
      <c r="A10" s="100" t="s">
        <v>80</v>
      </c>
      <c r="B10" s="101" t="str">
        <f>'Orçamento final pintura asfalto'!B8</f>
        <v>Locação da obra com uso de equipamentos topográficos, inclusive topógrafo e nivelador</v>
      </c>
      <c r="C10" s="107">
        <f>'Orçamento final pintura asfalto'!G8</f>
        <v>2371.62</v>
      </c>
      <c r="D10" s="112">
        <f t="shared" si="0"/>
        <v>4.2351780465193483E-3</v>
      </c>
      <c r="E10" s="123">
        <f t="shared" ref="E10:E25" si="2">ROUND((F10*C10),2)</f>
        <v>2371.62</v>
      </c>
      <c r="F10" s="23">
        <v>1</v>
      </c>
      <c r="G10" s="123">
        <f t="shared" si="1"/>
        <v>0</v>
      </c>
      <c r="H10" s="23"/>
      <c r="I10" s="103">
        <f t="shared" ref="I10:I24" si="3">ROUND((E10+G10),2)</f>
        <v>2371.62</v>
      </c>
      <c r="J10" s="145">
        <f>ROUND((F10+H10),2)</f>
        <v>1</v>
      </c>
      <c r="K10" s="104"/>
    </row>
    <row r="11" spans="1:11" ht="38.25" x14ac:dyDescent="0.2">
      <c r="A11" s="100" t="s">
        <v>81</v>
      </c>
      <c r="B11" s="142" t="str">
        <f>'Orçamento final pintura asfalto'!B9</f>
        <v>Caminhão pipa 10.000 l trucado, peso bruto total 23.000 kg, carga útil máxima 15.935 kg, distância entre eixos 4,8 m, potência 230 cv, inclusive tanque de aço para transporte de água (lavar paralelipípedo)</v>
      </c>
      <c r="C11" s="107">
        <f>'Orçamento final pintura asfalto'!G9</f>
        <v>240.39</v>
      </c>
      <c r="D11" s="112">
        <f t="shared" si="0"/>
        <v>4.2928228409390467E-4</v>
      </c>
      <c r="E11" s="123">
        <f t="shared" si="2"/>
        <v>240.39</v>
      </c>
      <c r="F11" s="23">
        <v>1</v>
      </c>
      <c r="G11" s="123">
        <f t="shared" si="1"/>
        <v>0</v>
      </c>
      <c r="H11" s="23"/>
      <c r="I11" s="103">
        <f t="shared" si="3"/>
        <v>240.39</v>
      </c>
      <c r="J11" s="145">
        <f t="shared" ref="J11:J24" si="4">ROUND((F11+H11),2)</f>
        <v>1</v>
      </c>
      <c r="K11" s="104"/>
    </row>
    <row r="12" spans="1:11" s="119" customFormat="1" x14ac:dyDescent="0.2">
      <c r="A12" s="113" t="s">
        <v>12</v>
      </c>
      <c r="B12" s="113" t="str">
        <f>'Orçamento final pintura asfalto'!B11</f>
        <v>DRENAGEM</v>
      </c>
      <c r="C12" s="114">
        <f>C13</f>
        <v>593.34</v>
      </c>
      <c r="D12" s="115">
        <f t="shared" si="0"/>
        <v>1.0595713234505487E-3</v>
      </c>
      <c r="E12" s="143">
        <f t="shared" si="2"/>
        <v>0</v>
      </c>
      <c r="F12" s="115"/>
      <c r="G12" s="143">
        <f t="shared" si="1"/>
        <v>0</v>
      </c>
      <c r="H12" s="115"/>
      <c r="I12" s="115"/>
      <c r="J12" s="115"/>
      <c r="K12" s="144"/>
    </row>
    <row r="13" spans="1:11" s="125" customFormat="1" x14ac:dyDescent="0.2">
      <c r="A13" s="120" t="s">
        <v>82</v>
      </c>
      <c r="B13" s="124" t="str">
        <f>'Orçamento final pintura asfalto'!B12</f>
        <v>Alteamento das caixas de captação existente</v>
      </c>
      <c r="C13" s="121">
        <f>'Orçamento final pintura asfalto'!G12</f>
        <v>593.34</v>
      </c>
      <c r="D13" s="122">
        <f t="shared" si="0"/>
        <v>1.0595713234505487E-3</v>
      </c>
      <c r="E13" s="123">
        <f t="shared" si="2"/>
        <v>0</v>
      </c>
      <c r="F13" s="122">
        <v>0</v>
      </c>
      <c r="G13" s="123">
        <f t="shared" si="1"/>
        <v>593.34</v>
      </c>
      <c r="H13" s="122">
        <v>1</v>
      </c>
      <c r="I13" s="103">
        <f t="shared" si="3"/>
        <v>593.34</v>
      </c>
      <c r="J13" s="145">
        <f t="shared" si="4"/>
        <v>1</v>
      </c>
      <c r="K13" s="104"/>
    </row>
    <row r="14" spans="1:11" s="119" customFormat="1" x14ac:dyDescent="0.2">
      <c r="A14" s="113" t="s">
        <v>44</v>
      </c>
      <c r="B14" s="113" t="str">
        <f>'Orçamento final pintura asfalto'!B14</f>
        <v>PAVIMENTAÇÃO</v>
      </c>
      <c r="C14" s="114">
        <f>SUM(C15:C18)</f>
        <v>531993.01</v>
      </c>
      <c r="D14" s="115">
        <f t="shared" si="0"/>
        <v>0.95001944529635796</v>
      </c>
      <c r="E14" s="143">
        <f t="shared" si="2"/>
        <v>0</v>
      </c>
      <c r="F14" s="115"/>
      <c r="G14" s="143">
        <f t="shared" si="1"/>
        <v>0</v>
      </c>
      <c r="H14" s="115"/>
      <c r="I14" s="115"/>
      <c r="J14" s="145">
        <f t="shared" si="4"/>
        <v>0</v>
      </c>
      <c r="K14" s="144"/>
    </row>
    <row r="15" spans="1:11" x14ac:dyDescent="0.2">
      <c r="A15" s="100" t="s">
        <v>83</v>
      </c>
      <c r="B15" s="22" t="str">
        <f>'Orçamento final pintura asfalto'!B15</f>
        <v>Recuperação de camadas abaixo do pavimentação existente</v>
      </c>
      <c r="C15" s="107">
        <f>'Orçamento final pintura asfalto'!G15</f>
        <v>9823.52</v>
      </c>
      <c r="D15" s="112">
        <f t="shared" si="0"/>
        <v>1.7542589556313302E-2</v>
      </c>
      <c r="E15" s="123">
        <f t="shared" si="2"/>
        <v>1961.07</v>
      </c>
      <c r="F15" s="23">
        <v>0.19963</v>
      </c>
      <c r="G15" s="123">
        <f t="shared" si="1"/>
        <v>7862.45</v>
      </c>
      <c r="H15" s="23">
        <v>0.80037000000000003</v>
      </c>
      <c r="I15" s="103">
        <f t="shared" si="3"/>
        <v>9823.52</v>
      </c>
      <c r="J15" s="145">
        <f t="shared" si="4"/>
        <v>1</v>
      </c>
      <c r="K15" s="104"/>
    </row>
    <row r="16" spans="1:11" x14ac:dyDescent="0.2">
      <c r="A16" s="100" t="s">
        <v>84</v>
      </c>
      <c r="B16" s="22" t="str">
        <f>'Orçamento final pintura asfalto'!B16</f>
        <v>Pintura de ligação RR - 2C</v>
      </c>
      <c r="C16" s="107">
        <f>'Orçamento final pintura asfalto'!G16</f>
        <v>18394.52</v>
      </c>
      <c r="D16" s="112">
        <f t="shared" si="0"/>
        <v>3.2848461085781488E-2</v>
      </c>
      <c r="E16" s="123">
        <f t="shared" si="2"/>
        <v>3672.1</v>
      </c>
      <c r="F16" s="23">
        <v>0.19963</v>
      </c>
      <c r="G16" s="123">
        <f t="shared" si="1"/>
        <v>14722.42</v>
      </c>
      <c r="H16" s="23">
        <v>0.80037000000000003</v>
      </c>
      <c r="I16" s="103">
        <f t="shared" si="3"/>
        <v>18394.52</v>
      </c>
      <c r="J16" s="145">
        <f t="shared" si="4"/>
        <v>1</v>
      </c>
      <c r="K16" s="104"/>
    </row>
    <row r="17" spans="1:11" x14ac:dyDescent="0.2">
      <c r="A17" s="100" t="s">
        <v>85</v>
      </c>
      <c r="B17" s="22" t="str">
        <f>'Orçamento final pintura asfalto'!B17</f>
        <v>Camada de revestimento c/ C.B.U.Q., Faixa  ''C'' , e = 5 cm "compactado"</v>
      </c>
      <c r="C17" s="107">
        <f>'Orçamento final pintura asfalto'!G17</f>
        <v>487081.19</v>
      </c>
      <c r="D17" s="112">
        <f t="shared" si="0"/>
        <v>0.86981707135229069</v>
      </c>
      <c r="E17" s="123">
        <f t="shared" si="2"/>
        <v>97236.02</v>
      </c>
      <c r="F17" s="23">
        <v>0.19963</v>
      </c>
      <c r="G17" s="123">
        <f t="shared" si="1"/>
        <v>389845.17</v>
      </c>
      <c r="H17" s="23">
        <v>0.80037000000000003</v>
      </c>
      <c r="I17" s="103">
        <f t="shared" si="3"/>
        <v>487081.19</v>
      </c>
      <c r="J17" s="145">
        <f t="shared" si="4"/>
        <v>1</v>
      </c>
      <c r="K17" s="104"/>
    </row>
    <row r="18" spans="1:11" x14ac:dyDescent="0.2">
      <c r="A18" s="100" t="s">
        <v>86</v>
      </c>
      <c r="B18" s="22" t="str">
        <f>'Orçamento final pintura asfalto'!B18</f>
        <v>Transporte de C.B.U.Q</v>
      </c>
      <c r="C18" s="107">
        <f>'Orçamento final pintura asfalto'!G18</f>
        <v>16693.78</v>
      </c>
      <c r="D18" s="112">
        <f t="shared" si="0"/>
        <v>2.9811323301972392E-2</v>
      </c>
      <c r="E18" s="123">
        <f t="shared" si="2"/>
        <v>3332.58</v>
      </c>
      <c r="F18" s="23">
        <v>0.19963</v>
      </c>
      <c r="G18" s="123">
        <f t="shared" si="1"/>
        <v>13361.2</v>
      </c>
      <c r="H18" s="23">
        <v>0.80037000000000003</v>
      </c>
      <c r="I18" s="103">
        <f t="shared" si="3"/>
        <v>16693.78</v>
      </c>
      <c r="J18" s="145">
        <f t="shared" si="4"/>
        <v>1</v>
      </c>
      <c r="K18" s="104"/>
    </row>
    <row r="19" spans="1:11" s="119" customFormat="1" x14ac:dyDescent="0.2">
      <c r="A19" s="113" t="s">
        <v>78</v>
      </c>
      <c r="B19" s="113" t="str">
        <f>'Orçamento final pintura asfalto'!B20</f>
        <v>SINALIZAÇÃO</v>
      </c>
      <c r="C19" s="114">
        <f>SUM(C20:C24)</f>
        <v>23859.770000000004</v>
      </c>
      <c r="D19" s="115">
        <f t="shared" si="0"/>
        <v>4.2608164081514313E-2</v>
      </c>
      <c r="E19" s="143">
        <f t="shared" si="2"/>
        <v>0</v>
      </c>
      <c r="F19" s="115"/>
      <c r="G19" s="143">
        <f t="shared" si="1"/>
        <v>0</v>
      </c>
      <c r="H19" s="115"/>
      <c r="I19" s="115"/>
      <c r="J19" s="115"/>
      <c r="K19" s="144"/>
    </row>
    <row r="20" spans="1:11" x14ac:dyDescent="0.2">
      <c r="A20" s="100" t="s">
        <v>87</v>
      </c>
      <c r="B20" s="22" t="str">
        <f>'Orçamento final pintura asfalto'!B21</f>
        <v>Pintura a quente (eixo da via e faixas e setas)</v>
      </c>
      <c r="C20" s="107">
        <f>'Orçamento final pintura asfalto'!G21</f>
        <v>3189.26</v>
      </c>
      <c r="D20" s="112">
        <f t="shared" si="0"/>
        <v>5.6952985455689777E-3</v>
      </c>
      <c r="E20" s="123">
        <f t="shared" si="2"/>
        <v>0</v>
      </c>
      <c r="F20" s="23">
        <v>0</v>
      </c>
      <c r="G20" s="123">
        <f t="shared" si="1"/>
        <v>3189.26</v>
      </c>
      <c r="H20" s="23">
        <v>1</v>
      </c>
      <c r="I20" s="103">
        <f t="shared" si="3"/>
        <v>3189.26</v>
      </c>
      <c r="J20" s="145">
        <f t="shared" si="4"/>
        <v>1</v>
      </c>
      <c r="K20" s="104"/>
    </row>
    <row r="21" spans="1:11" x14ac:dyDescent="0.2">
      <c r="A21" s="100" t="s">
        <v>88</v>
      </c>
      <c r="B21" s="22" t="str">
        <f>'Orçamento final pintura asfalto'!B22</f>
        <v>Pintura a frio (vagas de estacionamento)</v>
      </c>
      <c r="C21" s="107">
        <f>'Orçamento final pintura asfalto'!G22</f>
        <v>10322.370000000001</v>
      </c>
      <c r="D21" s="112">
        <f t="shared" si="0"/>
        <v>1.8433423066110899E-2</v>
      </c>
      <c r="E21" s="123">
        <f t="shared" si="2"/>
        <v>0</v>
      </c>
      <c r="F21" s="23">
        <v>0</v>
      </c>
      <c r="G21" s="123">
        <f t="shared" si="1"/>
        <v>10322.370000000001</v>
      </c>
      <c r="H21" s="23">
        <v>1</v>
      </c>
      <c r="I21" s="103">
        <f t="shared" si="3"/>
        <v>10322.370000000001</v>
      </c>
      <c r="J21" s="145">
        <f t="shared" si="4"/>
        <v>1</v>
      </c>
      <c r="K21" s="104"/>
    </row>
    <row r="22" spans="1:11" x14ac:dyDescent="0.2">
      <c r="A22" s="100" t="s">
        <v>89</v>
      </c>
      <c r="B22" s="22" t="str">
        <f>'Orçamento final pintura asfalto'!B23</f>
        <v>Tachão monodirecional</v>
      </c>
      <c r="C22" s="107">
        <f>'Orçamento final pintura asfalto'!G23</f>
        <v>5066.88</v>
      </c>
      <c r="D22" s="112">
        <f t="shared" si="0"/>
        <v>9.0483040876480885E-3</v>
      </c>
      <c r="E22" s="123">
        <f t="shared" si="2"/>
        <v>0</v>
      </c>
      <c r="F22" s="23">
        <v>0</v>
      </c>
      <c r="G22" s="123">
        <f t="shared" si="1"/>
        <v>5066.88</v>
      </c>
      <c r="H22" s="23">
        <v>1</v>
      </c>
      <c r="I22" s="103">
        <f t="shared" si="3"/>
        <v>5066.88</v>
      </c>
      <c r="J22" s="145">
        <f t="shared" si="4"/>
        <v>1</v>
      </c>
      <c r="K22" s="104"/>
    </row>
    <row r="23" spans="1:11" x14ac:dyDescent="0.2">
      <c r="A23" s="100" t="s">
        <v>90</v>
      </c>
      <c r="B23" s="22" t="str">
        <f>'Orçamento final pintura asfalto'!B24</f>
        <v>Tacha monodirecional</v>
      </c>
      <c r="C23" s="107">
        <f>'Orçamento final pintura asfalto'!G24</f>
        <v>1318.24</v>
      </c>
      <c r="D23" s="112">
        <f t="shared" si="0"/>
        <v>2.3540791138730766E-3</v>
      </c>
      <c r="E23" s="123">
        <f t="shared" si="2"/>
        <v>0</v>
      </c>
      <c r="F23" s="23">
        <v>0</v>
      </c>
      <c r="G23" s="123">
        <f t="shared" si="1"/>
        <v>1318.24</v>
      </c>
      <c r="H23" s="23">
        <v>1</v>
      </c>
      <c r="I23" s="103">
        <f t="shared" si="3"/>
        <v>1318.24</v>
      </c>
      <c r="J23" s="145">
        <f t="shared" si="4"/>
        <v>1</v>
      </c>
      <c r="K23" s="104"/>
    </row>
    <row r="24" spans="1:11" x14ac:dyDescent="0.2">
      <c r="A24" s="100" t="s">
        <v>121</v>
      </c>
      <c r="B24" s="22" t="str">
        <f>'Orçamento final pintura asfalto'!B25</f>
        <v>Segregador</v>
      </c>
      <c r="C24" s="107">
        <f>'Orçamento final pintura asfalto'!G25</f>
        <v>3963.02</v>
      </c>
      <c r="D24" s="112">
        <f t="shared" si="0"/>
        <v>7.0770592683132667E-3</v>
      </c>
      <c r="E24" s="123">
        <f t="shared" si="2"/>
        <v>0</v>
      </c>
      <c r="F24" s="23">
        <v>0</v>
      </c>
      <c r="G24" s="123">
        <f t="shared" si="1"/>
        <v>3963.02</v>
      </c>
      <c r="H24" s="23">
        <v>1</v>
      </c>
      <c r="I24" s="103">
        <f t="shared" si="3"/>
        <v>3963.02</v>
      </c>
      <c r="J24" s="145">
        <f t="shared" si="4"/>
        <v>1</v>
      </c>
      <c r="K24" s="104"/>
    </row>
    <row r="25" spans="1:11" s="119" customFormat="1" x14ac:dyDescent="0.2">
      <c r="A25" s="113"/>
      <c r="B25" s="113" t="s">
        <v>31</v>
      </c>
      <c r="C25" s="114">
        <f>SUM(C19+C14+C12+C8)</f>
        <v>559981.18000000005</v>
      </c>
      <c r="D25" s="115">
        <f>D19+D14+D12+D8</f>
        <v>1</v>
      </c>
      <c r="E25" s="143">
        <f t="shared" si="2"/>
        <v>0</v>
      </c>
      <c r="F25" s="113"/>
      <c r="G25" s="143">
        <f t="shared" si="1"/>
        <v>0</v>
      </c>
      <c r="H25" s="115"/>
      <c r="I25" s="116">
        <f>SUM((I9:I24),2)</f>
        <v>559983.18000000005</v>
      </c>
      <c r="J25" s="146">
        <f>ROUND((F25+H25),2)</f>
        <v>0</v>
      </c>
      <c r="K25" s="144"/>
    </row>
    <row r="26" spans="1:11" x14ac:dyDescent="0.2">
      <c r="A26" s="22"/>
      <c r="B26" s="22" t="s">
        <v>32</v>
      </c>
      <c r="C26" s="107"/>
      <c r="D26" s="22"/>
      <c r="E26" s="24">
        <f>SUM(E8:E25)</f>
        <v>109736.83</v>
      </c>
      <c r="F26" s="23">
        <f>E26/C25</f>
        <v>0.1959652108308354</v>
      </c>
      <c r="G26" s="24">
        <f>SUM(G8:G25)</f>
        <v>450244.35000000003</v>
      </c>
      <c r="H26" s="23">
        <f>G26/C25</f>
        <v>0.8040347891691646</v>
      </c>
      <c r="I26" s="103"/>
      <c r="J26" s="23"/>
    </row>
    <row r="27" spans="1:11" s="3" customFormat="1" x14ac:dyDescent="0.2">
      <c r="A27" s="25"/>
      <c r="B27" s="25" t="s">
        <v>33</v>
      </c>
      <c r="C27" s="110"/>
      <c r="D27" s="25"/>
      <c r="E27" s="27">
        <f>E26</f>
        <v>109736.83</v>
      </c>
      <c r="F27" s="26">
        <f>F26</f>
        <v>0.1959652108308354</v>
      </c>
      <c r="G27" s="27">
        <f>G26+E27</f>
        <v>559981.18000000005</v>
      </c>
      <c r="H27" s="26">
        <f t="shared" ref="H27" si="5">H26+F27</f>
        <v>1</v>
      </c>
      <c r="I27" s="102"/>
      <c r="J27" s="25"/>
    </row>
  </sheetData>
  <mergeCells count="2">
    <mergeCell ref="B3:E3"/>
    <mergeCell ref="A1:J1"/>
  </mergeCells>
  <pageMargins left="0.9055118110236221" right="2.4803149606299213" top="2.0866141732283467" bottom="0.78740157480314965" header="0.31496062992125984" footer="0.31496062992125984"/>
  <pageSetup paperSize="8" scale="95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Orçamento final pintura asfalto</vt:lpstr>
      <vt:lpstr>Composições</vt:lpstr>
      <vt:lpstr>Cronograma</vt:lpstr>
      <vt:lpstr>Composições!Area_de_impressao</vt:lpstr>
      <vt:lpstr>Cronograma!Area_de_impressao</vt:lpstr>
      <vt:lpstr>'Orçamento final pintura asfalto'!Area_de_impressao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Rodrigo Becker</cp:lastModifiedBy>
  <cp:lastPrinted>2018-05-03T12:19:48Z</cp:lastPrinted>
  <dcterms:created xsi:type="dcterms:W3CDTF">2001-12-06T19:05:24Z</dcterms:created>
  <dcterms:modified xsi:type="dcterms:W3CDTF">2018-05-03T13:10:50Z</dcterms:modified>
</cp:coreProperties>
</file>